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840" yWindow="480" windowWidth="7590" windowHeight="8235" firstSheet="9" activeTab="9"/>
  </bookViews>
  <sheets>
    <sheet name="2017-Kl" sheetId="1" state="hidden" r:id="rId1"/>
    <sheet name="2017-von" sheetId="2" state="hidden" r:id="rId2"/>
    <sheet name="2019-KL" sheetId="3" state="hidden" r:id="rId3"/>
    <sheet name="2019-Von" sheetId="4" state="hidden" r:id="rId4"/>
    <sheet name="2020-KL" sheetId="5" state="hidden" r:id="rId5"/>
    <sheet name="2020-Von" sheetId="6" state="hidden" r:id="rId6"/>
    <sheet name="TH 2016-2020" sheetId="7" state="hidden" r:id="rId7"/>
    <sheet name="KNTS" sheetId="8" state="hidden" r:id="rId8"/>
    <sheet name="Trung han 2016-2020" sheetId="9" state="hidden" r:id="rId9"/>
    <sheet name="Von Lam nghiep" sheetId="10" r:id="rId10"/>
    <sheet name="Phan bo 2019, 2020" sheetId="11" state="hidden" r:id="rId11"/>
  </sheets>
  <definedNames>
    <definedName name="_xlnm.Print_Titles" localSheetId="0">'2017-Kl'!$4:$7</definedName>
    <definedName name="_xlnm.Print_Titles" localSheetId="1">'2017-von'!$4:$7</definedName>
    <definedName name="_xlnm.Print_Titles" localSheetId="2">'2019-KL'!$4:$7</definedName>
    <definedName name="_xlnm.Print_Titles" localSheetId="3">'2019-Von'!$4:$7</definedName>
    <definedName name="_xlnm.Print_Titles" localSheetId="4">'2020-KL'!$4:$7</definedName>
    <definedName name="_xlnm.Print_Titles" localSheetId="5">'2020-Von'!$4:$7</definedName>
    <definedName name="_xlnm.Print_Titles" localSheetId="8">'Trung han 2016-2020'!$3:$6</definedName>
  </definedNames>
  <calcPr fullCalcOnLoad="1"/>
</workbook>
</file>

<file path=xl/comments1.xml><?xml version="1.0" encoding="utf-8"?>
<comments xmlns="http://schemas.openxmlformats.org/spreadsheetml/2006/main">
  <authors>
    <author>THANHBAC</author>
    <author>PC7</author>
  </authors>
  <commentList>
    <comment ref="H21" authorId="0">
      <text>
        <r>
          <rPr>
            <b/>
            <sz val="9"/>
            <rFont val="Tahoma"/>
            <family val="2"/>
          </rPr>
          <t>THANHBAC:DK HTG</t>
        </r>
      </text>
    </comment>
    <comment ref="M21" authorId="0">
      <text>
        <r>
          <rPr>
            <b/>
            <sz val="9"/>
            <rFont val="Tahoma"/>
            <family val="2"/>
          </rPr>
          <t>THANHBAC:</t>
        </r>
        <r>
          <rPr>
            <sz val="9"/>
            <rFont val="Tahoma"/>
            <family val="2"/>
          </rPr>
          <t xml:space="preserve">
DK HTG 60</t>
        </r>
      </text>
    </comment>
    <comment ref="I21" authorId="0">
      <text>
        <r>
          <rPr>
            <b/>
            <sz val="9"/>
            <rFont val="Tahoma"/>
            <family val="2"/>
          </rPr>
          <t>THANHBAC:</t>
        </r>
        <r>
          <rPr>
            <sz val="9"/>
            <rFont val="Tahoma"/>
            <family val="2"/>
          </rPr>
          <t xml:space="preserve">
DK HTG</t>
        </r>
      </text>
    </comment>
    <comment ref="F24" authorId="1">
      <text>
        <r>
          <rPr>
            <b/>
            <sz val="9"/>
            <rFont val="Tahoma"/>
            <family val="2"/>
          </rPr>
          <t>PC7:</t>
        </r>
        <r>
          <rPr>
            <sz val="9"/>
            <rFont val="Tahoma"/>
            <family val="2"/>
          </rPr>
          <t xml:space="preserve">
Đường Pa Thơm - Huổi Moi
Trường THPT Lương Thế Vinh</t>
        </r>
      </text>
    </comment>
    <comment ref="E24" authorId="1">
      <text>
        <r>
          <rPr>
            <b/>
            <sz val="9"/>
            <rFont val="Tahoma"/>
            <family val="2"/>
          </rPr>
          <t>PC7:</t>
        </r>
        <r>
          <rPr>
            <sz val="9"/>
            <rFont val="Tahoma"/>
            <family val="2"/>
          </rPr>
          <t xml:space="preserve">
Trường Lương Thế Vinh</t>
        </r>
      </text>
    </comment>
    <comment ref="K24" authorId="1">
      <text>
        <r>
          <rPr>
            <b/>
            <sz val="9"/>
            <rFont val="Tahoma"/>
            <family val="2"/>
          </rPr>
          <t>PC7:</t>
        </r>
        <r>
          <rPr>
            <sz val="9"/>
            <rFont val="Tahoma"/>
            <family val="2"/>
          </rPr>
          <t xml:space="preserve">
Đường Hô Củng</t>
        </r>
      </text>
    </comment>
    <comment ref="K25" authorId="1">
      <text>
        <r>
          <rPr>
            <b/>
            <sz val="9"/>
            <rFont val="Tahoma"/>
            <family val="2"/>
          </rPr>
          <t>PC7:</t>
        </r>
        <r>
          <rPr>
            <sz val="9"/>
            <rFont val="Tahoma"/>
            <family val="2"/>
          </rPr>
          <t xml:space="preserve">
Đường Hô Củng + Thủy lợi Pa Tần</t>
        </r>
      </text>
    </comment>
    <comment ref="L24" authorId="1">
      <text>
        <r>
          <rPr>
            <b/>
            <sz val="9"/>
            <rFont val="Tahoma"/>
            <family val="2"/>
          </rPr>
          <t>PC7:</t>
        </r>
        <r>
          <rPr>
            <sz val="9"/>
            <rFont val="Tahoma"/>
            <family val="2"/>
          </rPr>
          <t xml:space="preserve">
Bãi rác thải + Đường Keo Lôm</t>
        </r>
      </text>
    </comment>
    <comment ref="L25" authorId="1">
      <text>
        <r>
          <rPr>
            <b/>
            <sz val="9"/>
            <rFont val="Tahoma"/>
            <family val="2"/>
          </rPr>
          <t>PC7:</t>
        </r>
        <r>
          <rPr>
            <sz val="9"/>
            <rFont val="Tahoma"/>
            <family val="2"/>
          </rPr>
          <t xml:space="preserve">
Đường Keo Lôm</t>
        </r>
      </text>
    </comment>
    <comment ref="H12" authorId="1">
      <text>
        <r>
          <rPr>
            <b/>
            <sz val="9"/>
            <rFont val="Tahoma"/>
            <family val="2"/>
          </rPr>
          <t>PC7:</t>
        </r>
        <r>
          <rPr>
            <sz val="9"/>
            <rFont val="Tahoma"/>
            <family val="2"/>
          </rPr>
          <t xml:space="preserve">
Thủy lợi Xuân Lao, trồng 2016</t>
        </r>
      </text>
    </comment>
    <comment ref="F16" authorId="1">
      <text>
        <r>
          <rPr>
            <b/>
            <sz val="9"/>
            <rFont val="Tahoma"/>
            <family val="2"/>
          </rPr>
          <t>PC7:</t>
        </r>
        <r>
          <rPr>
            <sz val="9"/>
            <rFont val="Tahoma"/>
            <family val="2"/>
          </rPr>
          <t xml:space="preserve">
Đường Nà Nhạn - Mường Phăng</t>
        </r>
      </text>
    </comment>
    <comment ref="J24" authorId="1">
      <text>
        <r>
          <rPr>
            <b/>
            <sz val="9"/>
            <rFont val="Tahoma"/>
            <family val="2"/>
          </rPr>
          <t>PC7:</t>
        </r>
        <r>
          <rPr>
            <sz val="9"/>
            <rFont val="Tahoma"/>
            <family val="2"/>
          </rPr>
          <t xml:space="preserve">
Lò San Chái</t>
        </r>
      </text>
    </comment>
  </commentList>
</comments>
</file>

<file path=xl/comments3.xml><?xml version="1.0" encoding="utf-8"?>
<comments xmlns="http://schemas.openxmlformats.org/spreadsheetml/2006/main">
  <authors>
    <author>PC7</author>
  </authors>
  <commentList>
    <comment ref="H18" authorId="0">
      <text>
        <r>
          <rPr>
            <b/>
            <sz val="9"/>
            <rFont val="Tahoma"/>
            <family val="2"/>
          </rPr>
          <t>PC7:</t>
        </r>
        <r>
          <rPr>
            <sz val="9"/>
            <rFont val="Tahoma"/>
            <family val="2"/>
          </rPr>
          <t xml:space="preserve">
Thủy lợi Xuân Lao, trồng 2016</t>
        </r>
      </text>
    </comment>
    <comment ref="K27" authorId="0">
      <text>
        <r>
          <rPr>
            <b/>
            <sz val="9"/>
            <rFont val="Tahoma"/>
            <family val="2"/>
          </rPr>
          <t>PC7:</t>
        </r>
        <r>
          <rPr>
            <sz val="9"/>
            <rFont val="Tahoma"/>
            <family val="2"/>
          </rPr>
          <t xml:space="preserve">
Đường Hô Củng</t>
        </r>
      </text>
    </comment>
    <comment ref="L27" authorId="0">
      <text>
        <r>
          <rPr>
            <b/>
            <sz val="9"/>
            <rFont val="Tahoma"/>
            <family val="2"/>
          </rPr>
          <t>PC7:</t>
        </r>
        <r>
          <rPr>
            <sz val="9"/>
            <rFont val="Tahoma"/>
            <family val="2"/>
          </rPr>
          <t xml:space="preserve">
Bãi rác thải + Đường Keo Lôm</t>
        </r>
      </text>
    </comment>
    <comment ref="K28" authorId="0">
      <text>
        <r>
          <rPr>
            <b/>
            <sz val="9"/>
            <rFont val="Tahoma"/>
            <family val="2"/>
          </rPr>
          <t>PC7:</t>
        </r>
        <r>
          <rPr>
            <sz val="9"/>
            <rFont val="Tahoma"/>
            <family val="2"/>
          </rPr>
          <t xml:space="preserve">
Đường Hô Củng + Thủy lợi Pa Tần (năm 2017 không thực hiện)</t>
        </r>
      </text>
    </comment>
    <comment ref="L28" authorId="0">
      <text>
        <r>
          <rPr>
            <b/>
            <sz val="9"/>
            <rFont val="Tahoma"/>
            <family val="2"/>
          </rPr>
          <t>PC7:</t>
        </r>
        <r>
          <rPr>
            <sz val="9"/>
            <rFont val="Tahoma"/>
            <family val="2"/>
          </rPr>
          <t xml:space="preserve">
Đường Keo Lôm (năm 2017 không thực hiện)</t>
        </r>
      </text>
    </comment>
    <comment ref="K13" authorId="0">
      <text>
        <r>
          <rPr>
            <b/>
            <sz val="9"/>
            <rFont val="Tahoma"/>
            <family val="2"/>
          </rPr>
          <t>PC7:</t>
        </r>
        <r>
          <rPr>
            <sz val="9"/>
            <rFont val="Tahoma"/>
            <family val="2"/>
          </rPr>
          <t xml:space="preserve">
Đường Hô Củng</t>
        </r>
      </text>
    </comment>
    <comment ref="L13" authorId="0">
      <text>
        <r>
          <rPr>
            <b/>
            <sz val="9"/>
            <rFont val="Tahoma"/>
            <family val="2"/>
          </rPr>
          <t>PC7:</t>
        </r>
        <r>
          <rPr>
            <sz val="9"/>
            <rFont val="Tahoma"/>
            <family val="2"/>
          </rPr>
          <t xml:space="preserve">
Bãi rác thải + Đường Keo Lôm</t>
        </r>
      </text>
    </comment>
    <comment ref="K14" authorId="0">
      <text>
        <r>
          <rPr>
            <b/>
            <sz val="9"/>
            <rFont val="Tahoma"/>
            <family val="2"/>
          </rPr>
          <t>PC7:</t>
        </r>
        <r>
          <rPr>
            <sz val="9"/>
            <rFont val="Tahoma"/>
            <family val="2"/>
          </rPr>
          <t xml:space="preserve">
Đường Hô Củng + Thủy lợi Pa Tần (năm 2017 không thực hiện)</t>
        </r>
      </text>
    </comment>
    <comment ref="L14" authorId="0">
      <text>
        <r>
          <rPr>
            <b/>
            <sz val="9"/>
            <rFont val="Tahoma"/>
            <family val="2"/>
          </rPr>
          <t>PC7:</t>
        </r>
        <r>
          <rPr>
            <sz val="9"/>
            <rFont val="Tahoma"/>
            <family val="2"/>
          </rPr>
          <t xml:space="preserve">
Đường Keo Lôm (năm 2017 không thực hiện)</t>
        </r>
      </text>
    </comment>
  </commentList>
</comments>
</file>

<file path=xl/comments4.xml><?xml version="1.0" encoding="utf-8"?>
<comments xmlns="http://schemas.openxmlformats.org/spreadsheetml/2006/main">
  <authors>
    <author>PC7</author>
  </authors>
  <commentList>
    <comment ref="K14" authorId="0">
      <text>
        <r>
          <rPr>
            <b/>
            <sz val="9"/>
            <rFont val="Tahoma"/>
            <family val="2"/>
          </rPr>
          <t>PC7:</t>
        </r>
        <r>
          <rPr>
            <sz val="9"/>
            <rFont val="Tahoma"/>
            <family val="2"/>
          </rPr>
          <t xml:space="preserve">
Đường Hô Củng</t>
        </r>
      </text>
    </comment>
    <comment ref="L14" authorId="0">
      <text>
        <r>
          <rPr>
            <b/>
            <sz val="9"/>
            <rFont val="Tahoma"/>
            <family val="2"/>
          </rPr>
          <t>PC7:</t>
        </r>
        <r>
          <rPr>
            <sz val="9"/>
            <rFont val="Tahoma"/>
            <family val="2"/>
          </rPr>
          <t xml:space="preserve">
Bãi rác thải + Đường Keo Lôm</t>
        </r>
      </text>
    </comment>
    <comment ref="K15" authorId="0">
      <text>
        <r>
          <rPr>
            <b/>
            <sz val="9"/>
            <rFont val="Tahoma"/>
            <family val="2"/>
          </rPr>
          <t>PC7:</t>
        </r>
        <r>
          <rPr>
            <sz val="9"/>
            <rFont val="Tahoma"/>
            <family val="2"/>
          </rPr>
          <t xml:space="preserve">
Đường Hô Củng + Thủy lợi Pa Tần (năm 2017 không thực hiện)</t>
        </r>
      </text>
    </comment>
    <comment ref="L15" authorId="0">
      <text>
        <r>
          <rPr>
            <b/>
            <sz val="9"/>
            <rFont val="Tahoma"/>
            <family val="2"/>
          </rPr>
          <t>PC7:</t>
        </r>
        <r>
          <rPr>
            <sz val="9"/>
            <rFont val="Tahoma"/>
            <family val="2"/>
          </rPr>
          <t xml:space="preserve">
Đường Keo Lôm (năm 2017 không thực hiện)</t>
        </r>
      </text>
    </comment>
    <comment ref="H19" authorId="0">
      <text>
        <r>
          <rPr>
            <b/>
            <sz val="9"/>
            <rFont val="Tahoma"/>
            <family val="2"/>
          </rPr>
          <t>PC7:</t>
        </r>
        <r>
          <rPr>
            <sz val="9"/>
            <rFont val="Tahoma"/>
            <family val="2"/>
          </rPr>
          <t xml:space="preserve">
Thủy lợi Xuân Lao, trồng 2016</t>
        </r>
      </text>
    </comment>
    <comment ref="K28" authorId="0">
      <text>
        <r>
          <rPr>
            <b/>
            <sz val="9"/>
            <rFont val="Tahoma"/>
            <family val="2"/>
          </rPr>
          <t>PC7:</t>
        </r>
        <r>
          <rPr>
            <sz val="9"/>
            <rFont val="Tahoma"/>
            <family val="2"/>
          </rPr>
          <t xml:space="preserve">
Đường Hô Củng</t>
        </r>
      </text>
    </comment>
    <comment ref="L28" authorId="0">
      <text>
        <r>
          <rPr>
            <b/>
            <sz val="9"/>
            <rFont val="Tahoma"/>
            <family val="2"/>
          </rPr>
          <t>PC7:</t>
        </r>
        <r>
          <rPr>
            <sz val="9"/>
            <rFont val="Tahoma"/>
            <family val="2"/>
          </rPr>
          <t xml:space="preserve">
Bãi rác thải + Đường Keo Lôm</t>
        </r>
      </text>
    </comment>
    <comment ref="K29" authorId="0">
      <text>
        <r>
          <rPr>
            <b/>
            <sz val="9"/>
            <rFont val="Tahoma"/>
            <family val="2"/>
          </rPr>
          <t>PC7:</t>
        </r>
        <r>
          <rPr>
            <sz val="9"/>
            <rFont val="Tahoma"/>
            <family val="2"/>
          </rPr>
          <t xml:space="preserve">
Đường Hô Củng + Thủy lợi Pa Tần (năm 2017 không thực hiện)</t>
        </r>
      </text>
    </comment>
    <comment ref="L29" authorId="0">
      <text>
        <r>
          <rPr>
            <b/>
            <sz val="9"/>
            <rFont val="Tahoma"/>
            <family val="2"/>
          </rPr>
          <t>PC7:</t>
        </r>
        <r>
          <rPr>
            <sz val="9"/>
            <rFont val="Tahoma"/>
            <family val="2"/>
          </rPr>
          <t xml:space="preserve">
Đường Keo Lôm (năm 2017 không thực hiện)</t>
        </r>
      </text>
    </comment>
  </commentList>
</comments>
</file>

<file path=xl/comments5.xml><?xml version="1.0" encoding="utf-8"?>
<comments xmlns="http://schemas.openxmlformats.org/spreadsheetml/2006/main">
  <authors>
    <author>PC7</author>
  </authors>
  <commentList>
    <comment ref="K18" authorId="0">
      <text>
        <r>
          <rPr>
            <b/>
            <sz val="9"/>
            <rFont val="Tahoma"/>
            <family val="2"/>
          </rPr>
          <t>PC7:</t>
        </r>
        <r>
          <rPr>
            <sz val="9"/>
            <rFont val="Tahoma"/>
            <family val="2"/>
          </rPr>
          <t xml:space="preserve">
Đường Hô Củng</t>
        </r>
      </text>
    </comment>
    <comment ref="L18" authorId="0">
      <text>
        <r>
          <rPr>
            <b/>
            <sz val="9"/>
            <rFont val="Tahoma"/>
            <family val="2"/>
          </rPr>
          <t>PC7:</t>
        </r>
        <r>
          <rPr>
            <sz val="9"/>
            <rFont val="Tahoma"/>
            <family val="2"/>
          </rPr>
          <t xml:space="preserve">
Bãi rác thải + Đường Keo Lôm</t>
        </r>
      </text>
    </comment>
    <comment ref="K19" authorId="0">
      <text>
        <r>
          <rPr>
            <b/>
            <sz val="9"/>
            <rFont val="Tahoma"/>
            <family val="2"/>
          </rPr>
          <t>PC7:</t>
        </r>
        <r>
          <rPr>
            <sz val="9"/>
            <rFont val="Tahoma"/>
            <family val="2"/>
          </rPr>
          <t xml:space="preserve">
Đường Hô Củng + Thủy lợi Pa Tần (năm 2017 không thực hiện)</t>
        </r>
      </text>
    </comment>
    <comment ref="L19" authorId="0">
      <text>
        <r>
          <rPr>
            <b/>
            <sz val="9"/>
            <rFont val="Tahoma"/>
            <family val="2"/>
          </rPr>
          <t>PC7:</t>
        </r>
        <r>
          <rPr>
            <sz val="9"/>
            <rFont val="Tahoma"/>
            <family val="2"/>
          </rPr>
          <t xml:space="preserve">
Đường Keo Lôm (năm 2017 không thực hiện)</t>
        </r>
      </text>
    </comment>
    <comment ref="H23" authorId="0">
      <text>
        <r>
          <rPr>
            <b/>
            <sz val="9"/>
            <rFont val="Tahoma"/>
            <family val="2"/>
          </rPr>
          <t>PC7:</t>
        </r>
        <r>
          <rPr>
            <sz val="9"/>
            <rFont val="Tahoma"/>
            <family val="2"/>
          </rPr>
          <t xml:space="preserve">
Thủy lợi Xuân Lao, trồng 2016</t>
        </r>
      </text>
    </comment>
    <comment ref="K28" authorId="0">
      <text>
        <r>
          <rPr>
            <b/>
            <sz val="9"/>
            <rFont val="Tahoma"/>
            <family val="2"/>
          </rPr>
          <t>PC7:</t>
        </r>
        <r>
          <rPr>
            <sz val="9"/>
            <rFont val="Tahoma"/>
            <family val="2"/>
          </rPr>
          <t xml:space="preserve">
Đường Hô Củng</t>
        </r>
      </text>
    </comment>
    <comment ref="L28" authorId="0">
      <text>
        <r>
          <rPr>
            <b/>
            <sz val="9"/>
            <rFont val="Tahoma"/>
            <family val="2"/>
          </rPr>
          <t>PC7:</t>
        </r>
        <r>
          <rPr>
            <sz val="9"/>
            <rFont val="Tahoma"/>
            <family val="2"/>
          </rPr>
          <t xml:space="preserve">
Bãi rác thải + Đường Keo Lôm</t>
        </r>
      </text>
    </comment>
    <comment ref="K29" authorId="0">
      <text>
        <r>
          <rPr>
            <b/>
            <sz val="9"/>
            <rFont val="Tahoma"/>
            <family val="2"/>
          </rPr>
          <t>PC7:</t>
        </r>
        <r>
          <rPr>
            <sz val="9"/>
            <rFont val="Tahoma"/>
            <family val="2"/>
          </rPr>
          <t xml:space="preserve">
Đường Hô Củng + Thủy lợi Pa Tần (năm 2017 không thực hiện)</t>
        </r>
      </text>
    </comment>
    <comment ref="L29" authorId="0">
      <text>
        <r>
          <rPr>
            <b/>
            <sz val="9"/>
            <rFont val="Tahoma"/>
            <family val="2"/>
          </rPr>
          <t>PC7:</t>
        </r>
        <r>
          <rPr>
            <sz val="9"/>
            <rFont val="Tahoma"/>
            <family val="2"/>
          </rPr>
          <t xml:space="preserve">
Đường Keo Lôm (năm 2017 không thực hiện)</t>
        </r>
      </text>
    </comment>
    <comment ref="K13" authorId="0">
      <text>
        <r>
          <rPr>
            <b/>
            <sz val="9"/>
            <rFont val="Tahoma"/>
            <family val="2"/>
          </rPr>
          <t>PC7:</t>
        </r>
        <r>
          <rPr>
            <sz val="9"/>
            <rFont val="Tahoma"/>
            <family val="2"/>
          </rPr>
          <t xml:space="preserve">
Đường Hô Củng</t>
        </r>
      </text>
    </comment>
    <comment ref="L13" authorId="0">
      <text>
        <r>
          <rPr>
            <b/>
            <sz val="9"/>
            <rFont val="Tahoma"/>
            <family val="2"/>
          </rPr>
          <t>PC7:</t>
        </r>
        <r>
          <rPr>
            <sz val="9"/>
            <rFont val="Tahoma"/>
            <family val="2"/>
          </rPr>
          <t xml:space="preserve">
Bãi rác thải + Đường Keo Lôm</t>
        </r>
      </text>
    </comment>
    <comment ref="K14" authorId="0">
      <text>
        <r>
          <rPr>
            <b/>
            <sz val="9"/>
            <rFont val="Tahoma"/>
            <family val="2"/>
          </rPr>
          <t>PC7:</t>
        </r>
        <r>
          <rPr>
            <sz val="9"/>
            <rFont val="Tahoma"/>
            <family val="2"/>
          </rPr>
          <t xml:space="preserve">
Đường Hô Củng + Thủy lợi Pa Tần (năm 2017 không thực hiện)</t>
        </r>
      </text>
    </comment>
    <comment ref="L14" authorId="0">
      <text>
        <r>
          <rPr>
            <b/>
            <sz val="9"/>
            <rFont val="Tahoma"/>
            <family val="2"/>
          </rPr>
          <t>PC7:</t>
        </r>
        <r>
          <rPr>
            <sz val="9"/>
            <rFont val="Tahoma"/>
            <family val="2"/>
          </rPr>
          <t xml:space="preserve">
Đường Keo Lôm (năm 2017 không thực hiện)</t>
        </r>
      </text>
    </comment>
  </commentList>
</comments>
</file>

<file path=xl/comments6.xml><?xml version="1.0" encoding="utf-8"?>
<comments xmlns="http://schemas.openxmlformats.org/spreadsheetml/2006/main">
  <authors>
    <author>PC7</author>
  </authors>
  <commentList>
    <comment ref="K14" authorId="0">
      <text>
        <r>
          <rPr>
            <b/>
            <sz val="9"/>
            <rFont val="Tahoma"/>
            <family val="2"/>
          </rPr>
          <t>PC7:</t>
        </r>
        <r>
          <rPr>
            <sz val="9"/>
            <rFont val="Tahoma"/>
            <family val="2"/>
          </rPr>
          <t xml:space="preserve">
Đường Hô Củng</t>
        </r>
      </text>
    </comment>
    <comment ref="L14" authorId="0">
      <text>
        <r>
          <rPr>
            <b/>
            <sz val="9"/>
            <rFont val="Tahoma"/>
            <family val="2"/>
          </rPr>
          <t>PC7:</t>
        </r>
        <r>
          <rPr>
            <sz val="9"/>
            <rFont val="Tahoma"/>
            <family val="2"/>
          </rPr>
          <t xml:space="preserve">
Bãi rác thải + Đường Keo Lôm</t>
        </r>
      </text>
    </comment>
    <comment ref="K15" authorId="0">
      <text>
        <r>
          <rPr>
            <b/>
            <sz val="9"/>
            <rFont val="Tahoma"/>
            <family val="2"/>
          </rPr>
          <t>PC7:</t>
        </r>
        <r>
          <rPr>
            <sz val="9"/>
            <rFont val="Tahoma"/>
            <family val="2"/>
          </rPr>
          <t xml:space="preserve">
Đường Hô Củng + Thủy lợi Pa Tần (năm 2017 không thực hiện)</t>
        </r>
      </text>
    </comment>
    <comment ref="L15" authorId="0">
      <text>
        <r>
          <rPr>
            <b/>
            <sz val="9"/>
            <rFont val="Tahoma"/>
            <family val="2"/>
          </rPr>
          <t>PC7:</t>
        </r>
        <r>
          <rPr>
            <sz val="9"/>
            <rFont val="Tahoma"/>
            <family val="2"/>
          </rPr>
          <t xml:space="preserve">
Đường Keo Lôm (năm 2017 không thực hiện)</t>
        </r>
      </text>
    </comment>
    <comment ref="K19" authorId="0">
      <text>
        <r>
          <rPr>
            <b/>
            <sz val="9"/>
            <rFont val="Tahoma"/>
            <family val="2"/>
          </rPr>
          <t>PC7:</t>
        </r>
        <r>
          <rPr>
            <sz val="9"/>
            <rFont val="Tahoma"/>
            <family val="2"/>
          </rPr>
          <t xml:space="preserve">
Đường Hô Củng</t>
        </r>
      </text>
    </comment>
    <comment ref="L19" authorId="0">
      <text>
        <r>
          <rPr>
            <b/>
            <sz val="9"/>
            <rFont val="Tahoma"/>
            <family val="2"/>
          </rPr>
          <t>PC7:</t>
        </r>
        <r>
          <rPr>
            <sz val="9"/>
            <rFont val="Tahoma"/>
            <family val="2"/>
          </rPr>
          <t xml:space="preserve">
Bãi rác thải + Đường Keo Lôm</t>
        </r>
      </text>
    </comment>
    <comment ref="K20" authorId="0">
      <text>
        <r>
          <rPr>
            <b/>
            <sz val="9"/>
            <rFont val="Tahoma"/>
            <family val="2"/>
          </rPr>
          <t>PC7:</t>
        </r>
        <r>
          <rPr>
            <sz val="9"/>
            <rFont val="Tahoma"/>
            <family val="2"/>
          </rPr>
          <t xml:space="preserve">
Đường Hô Củng + Thủy lợi Pa Tần (năm 2017 không thực hiện)</t>
        </r>
      </text>
    </comment>
    <comment ref="L20" authorId="0">
      <text>
        <r>
          <rPr>
            <b/>
            <sz val="9"/>
            <rFont val="Tahoma"/>
            <family val="2"/>
          </rPr>
          <t>PC7:</t>
        </r>
        <r>
          <rPr>
            <sz val="9"/>
            <rFont val="Tahoma"/>
            <family val="2"/>
          </rPr>
          <t xml:space="preserve">
Đường Keo Lôm (năm 2017 không thực hiện)</t>
        </r>
      </text>
    </comment>
    <comment ref="H24" authorId="0">
      <text>
        <r>
          <rPr>
            <b/>
            <sz val="9"/>
            <rFont val="Tahoma"/>
            <family val="2"/>
          </rPr>
          <t>PC7:</t>
        </r>
        <r>
          <rPr>
            <sz val="9"/>
            <rFont val="Tahoma"/>
            <family val="2"/>
          </rPr>
          <t xml:space="preserve">
Thủy lợi Xuân Lao, trồng 2016</t>
        </r>
      </text>
    </comment>
    <comment ref="K29" authorId="0">
      <text>
        <r>
          <rPr>
            <b/>
            <sz val="9"/>
            <rFont val="Tahoma"/>
            <family val="2"/>
          </rPr>
          <t>PC7:</t>
        </r>
        <r>
          <rPr>
            <sz val="9"/>
            <rFont val="Tahoma"/>
            <family val="2"/>
          </rPr>
          <t xml:space="preserve">
Đường Hô Củng</t>
        </r>
      </text>
    </comment>
    <comment ref="L29" authorId="0">
      <text>
        <r>
          <rPr>
            <b/>
            <sz val="9"/>
            <rFont val="Tahoma"/>
            <family val="2"/>
          </rPr>
          <t>PC7:</t>
        </r>
        <r>
          <rPr>
            <sz val="9"/>
            <rFont val="Tahoma"/>
            <family val="2"/>
          </rPr>
          <t xml:space="preserve">
Bãi rác thải + Đường Keo Lôm</t>
        </r>
      </text>
    </comment>
    <comment ref="K30" authorId="0">
      <text>
        <r>
          <rPr>
            <b/>
            <sz val="9"/>
            <rFont val="Tahoma"/>
            <family val="2"/>
          </rPr>
          <t>PC7:</t>
        </r>
        <r>
          <rPr>
            <sz val="9"/>
            <rFont val="Tahoma"/>
            <family val="2"/>
          </rPr>
          <t xml:space="preserve">
Đường Hô Củng + Thủy lợi Pa Tần (năm 2017 không thực hiện)</t>
        </r>
      </text>
    </comment>
    <comment ref="L30" authorId="0">
      <text>
        <r>
          <rPr>
            <b/>
            <sz val="9"/>
            <rFont val="Tahoma"/>
            <family val="2"/>
          </rPr>
          <t>PC7:</t>
        </r>
        <r>
          <rPr>
            <sz val="9"/>
            <rFont val="Tahoma"/>
            <family val="2"/>
          </rPr>
          <t xml:space="preserve">
Đường Keo Lôm (năm 2017 không thực hiện)</t>
        </r>
      </text>
    </comment>
  </commentList>
</comments>
</file>

<file path=xl/comments9.xml><?xml version="1.0" encoding="utf-8"?>
<comments xmlns="http://schemas.openxmlformats.org/spreadsheetml/2006/main">
  <authors>
    <author>PC7</author>
  </authors>
  <commentList>
    <comment ref="B11" authorId="0">
      <text>
        <r>
          <rPr>
            <b/>
            <sz val="9"/>
            <rFont val="Tahoma"/>
            <family val="2"/>
          </rPr>
          <t>PC7:</t>
        </r>
        <r>
          <rPr>
            <sz val="9"/>
            <rFont val="Tahoma"/>
            <family val="2"/>
          </rPr>
          <t xml:space="preserve">
xem lại số liệu của diện tích từ 400k/ha trở lên</t>
        </r>
      </text>
    </comment>
  </commentList>
</comments>
</file>

<file path=xl/sharedStrings.xml><?xml version="1.0" encoding="utf-8"?>
<sst xmlns="http://schemas.openxmlformats.org/spreadsheetml/2006/main" count="607" uniqueCount="140">
  <si>
    <t>TT</t>
  </si>
  <si>
    <t>Chỉ tiêu</t>
  </si>
  <si>
    <t>Huyện Mường Ảng</t>
  </si>
  <si>
    <t>Huyện Tủa Chùa</t>
  </si>
  <si>
    <t>I</t>
  </si>
  <si>
    <t>Lâm sinh</t>
  </si>
  <si>
    <t>-</t>
  </si>
  <si>
    <t xml:space="preserve"> Chăm sóc rừng trồng </t>
  </si>
  <si>
    <t>Rừng phòng hộ</t>
  </si>
  <si>
    <t>Rừng sản xuất</t>
  </si>
  <si>
    <t>II</t>
  </si>
  <si>
    <t>Huyện Điện Biên</t>
  </si>
  <si>
    <t>Tổng</t>
  </si>
  <si>
    <t xml:space="preserve"> Huyện Tuần Giáo</t>
  </si>
  <si>
    <t xml:space="preserve"> Huyện Mường Chà</t>
  </si>
  <si>
    <t>Dự án Bảo vệ và phát triển rừng</t>
  </si>
  <si>
    <t>BẰNG NGUỒN VỐN ĐẦU TƯ PHÁT TRIỂN TỪ NGÂN SÁCH TRUNG ƯƠNG</t>
  </si>
  <si>
    <t>Trồng rừng phòng hộ</t>
  </si>
  <si>
    <t>Không hỗ trợ gạo</t>
  </si>
  <si>
    <t>Năm thứ 2</t>
  </si>
  <si>
    <t>Thị xã Mường Lay</t>
  </si>
  <si>
    <t>Huyện Điện Biên Đông</t>
  </si>
  <si>
    <t>Huyện Mường Nhé</t>
  </si>
  <si>
    <t>Huyện Nậm Pồ</t>
  </si>
  <si>
    <t>TP.Điện Biên Phủ</t>
  </si>
  <si>
    <t xml:space="preserve">Hỗ trợ gạo </t>
  </si>
  <si>
    <t>Trồng rừng thay thế</t>
  </si>
  <si>
    <t>1.1</t>
  </si>
  <si>
    <t>Năm thứ 3</t>
  </si>
  <si>
    <t>1.2</t>
  </si>
  <si>
    <t>Rừng phòng hộ thay thế</t>
  </si>
  <si>
    <t>1.3</t>
  </si>
  <si>
    <t>Năm thứ 4</t>
  </si>
  <si>
    <t>Rừng sản xuất thay thế</t>
  </si>
  <si>
    <t>Trồng rừng</t>
  </si>
  <si>
    <t>2.1</t>
  </si>
  <si>
    <t>2.2</t>
  </si>
  <si>
    <t>ĐVT</t>
  </si>
  <si>
    <t>Cây</t>
  </si>
  <si>
    <t>III</t>
  </si>
  <si>
    <t>Hạng mục</t>
  </si>
  <si>
    <t>Dự án</t>
  </si>
  <si>
    <t>TP. Điện Biên Phủ</t>
  </si>
  <si>
    <t>Dự án bảo vệ và phát triển rừng</t>
  </si>
  <si>
    <t xml:space="preserve">Chăm sóc rừng trồng </t>
  </si>
  <si>
    <t>Ha</t>
  </si>
  <si>
    <t>Rà soát dự án bảo vệ và PTR cấp huyện</t>
  </si>
  <si>
    <t>a</t>
  </si>
  <si>
    <t>b</t>
  </si>
  <si>
    <t>c</t>
  </si>
  <si>
    <t>Rà soát, xây dựng các dự án</t>
  </si>
  <si>
    <t>Rà soát các dự án bảo vệ và PTR cấp huyện</t>
  </si>
  <si>
    <t>DỰ KIẾN KẾ HOẠCH VỐN CHƯƠNG TRÌNH MỤC TIÊU PHÁT TRIỂN LÂM NGHIỆP BỀN VỮNG TỈNH ĐIỆN BIÊN NĂM 2017</t>
  </si>
  <si>
    <t>DỰ KIẾN KẾ HOẠCH KHỐI LƯỢNG CHƯƠNG TRÌNH MỤC TIÊU PHÁT TRIỂN LÂM NGHIỆP BỀN VỮNG TỈNH ĐIỆN BIÊN NĂM 2017</t>
  </si>
  <si>
    <t>Xây dựng dự án BV và PTR các BQLRPH, ĐD</t>
  </si>
  <si>
    <t>Chi phí quản lý dự án (3% Lâm sinh)</t>
  </si>
  <si>
    <t>Thanh toán chi phí tư vấn lập dự án BV và PTR</t>
  </si>
  <si>
    <t>Chi phí tư vấn đầu tư xây dựng (7%, áp dụng cho hạng mục trồng rừng phòng hộ mới)</t>
  </si>
  <si>
    <t>Tổng cộng</t>
  </si>
  <si>
    <t>STT</t>
  </si>
  <si>
    <t>Tên dự án</t>
  </si>
  <si>
    <t>Tổng vốn</t>
  </si>
  <si>
    <t>Phân chia theo các năm</t>
  </si>
  <si>
    <t>Năm 2016</t>
  </si>
  <si>
    <t>Năm 2017</t>
  </si>
  <si>
    <t>Năm 2018</t>
  </si>
  <si>
    <t>Năm 2019</t>
  </si>
  <si>
    <t>Năm 2020</t>
  </si>
  <si>
    <t>Dự án bảo vệ và PTR huyện Điện Biên</t>
  </si>
  <si>
    <t>Dự án bảo vệ và PTR huyện Tuần Giáo</t>
  </si>
  <si>
    <t>Dự án bảo vệ và PTR huyện Mường Ảng</t>
  </si>
  <si>
    <t>Dự án bảo vệ và PTR huyện Tủa Chùa</t>
  </si>
  <si>
    <t>Dự án bảo vệ và PTR huyện Mường Nhé</t>
  </si>
  <si>
    <t>Dự án bảo vệ và PTR huyện Nậm Pồ</t>
  </si>
  <si>
    <t>Dự án bảo vệ và PTR huyện Điện Biên Đông</t>
  </si>
  <si>
    <t>Dự án bảo vệ và PTR huyện Mường Chà</t>
  </si>
  <si>
    <t>Dự án bảo vệ và PTR thị xã Mường Lay</t>
  </si>
  <si>
    <t>Dự án bảo vệ và PTR cấp huyện</t>
  </si>
  <si>
    <t>Dự án trồng cây phân tán</t>
  </si>
  <si>
    <t>Vốn đầu tư</t>
  </si>
  <si>
    <t xml:space="preserve">Dự án trồng cây phân tán </t>
  </si>
  <si>
    <t>Lượt ha</t>
  </si>
  <si>
    <t>Rừng thay thế</t>
  </si>
  <si>
    <t>Khối lượng thực hiện các năm</t>
  </si>
  <si>
    <t>Khối lượng</t>
  </si>
  <si>
    <t>Khối lượng vốn chia ra các năm</t>
  </si>
  <si>
    <t>DỰ KIẾN KẾ HOẠCH KHỐI LƯỢNG CHƯƠNG TRÌNH BẢO VỆ VÀ PTR</t>
  </si>
  <si>
    <t>DỰ KIẾN KẾ HOẠCH KHỐI LƯỢNG CHƯƠNG TRÌNH MỤC TIÊU PHÁT TRIỂN LÂM NGHIỆP BỀN VỮNG TỈNH ĐIỆN BIÊN NĂM 2019</t>
  </si>
  <si>
    <t>Huyện Mường Chà</t>
  </si>
  <si>
    <t>Huyện Điện Biên (xã Mường Pồn)</t>
  </si>
  <si>
    <t>DỰ KIẾN KẾ HOẠCH KHỐI LƯỢNG CHƯƠNG TRÌNH MỤC TIÊU PHÁT TRIỂN LÂM NGHIỆP BỀN VỮNG TỈNH ĐIỆN BIÊN NĂM 2020</t>
  </si>
  <si>
    <t>Biểu 05</t>
  </si>
  <si>
    <t>Biểu 06</t>
  </si>
  <si>
    <t>TỔNG HỢP DỰ KIẾN NHU CẦU VỐN ĐẦU TƯ GIAI ĐOẠN 2016 - 2020</t>
  </si>
  <si>
    <t>Địa điểm</t>
  </si>
  <si>
    <t>Huyện Tuần Giáo</t>
  </si>
  <si>
    <t>Khối lượng 
(ha)</t>
  </si>
  <si>
    <t>Chia theo năm</t>
  </si>
  <si>
    <t>ĐVT: Triệu đồng</t>
  </si>
  <si>
    <t>DỰ KIẾN KẾ HOẠCH VỐN THỰC HIỆN KHOANH NUÔI TÁI SINH MỚI 
TẠI CÁC XÃ THUỘC LƯU VỰC SÔNG ĐÀ NĂM 2017-2018</t>
  </si>
  <si>
    <t>Thanh toán khối lượng thực hiện năm 2016</t>
  </si>
  <si>
    <t>Biểu 01</t>
  </si>
  <si>
    <t>Biểu 02</t>
  </si>
  <si>
    <t>Chi phí quản lý lâm sinh</t>
  </si>
  <si>
    <t>Rà soát, xây dựng dự án bảo vệ và PTR</t>
  </si>
  <si>
    <t>Chăm sóc rừng trồng phòng hộ năm thứ 2</t>
  </si>
  <si>
    <t>Thực hiện khối lượng năm 2017 (trồng cây hoa Ban theo Kế hoạch số 1130/KH-UBND ngày 26/4/2017 của UBND tỉnh)</t>
  </si>
  <si>
    <t>Trồng rừng thay thế (rừng sản xuất)</t>
  </si>
  <si>
    <t>Trồng rừng phòng hộ, đặc dụng</t>
  </si>
  <si>
    <t>+</t>
  </si>
  <si>
    <t>Chăm sóc năm thứ 2</t>
  </si>
  <si>
    <t>Dự án bảo vệ và PTR TP ĐBP</t>
  </si>
  <si>
    <t>Chi phí quản lý dự án (3% lâm sinh)</t>
  </si>
  <si>
    <t>Thanh toán khối lượng hoàn thành năm 2018</t>
  </si>
  <si>
    <t>Thực hiện kế hoạch năm 2019</t>
  </si>
  <si>
    <t xml:space="preserve">Tổng phân bổ </t>
  </si>
  <si>
    <t>Ban QLRPH huyện Điện Biên</t>
  </si>
  <si>
    <t>Ban QLRPH  huyện Tuần Giáo</t>
  </si>
  <si>
    <t>Ban QLRPH huyện Mường Chà</t>
  </si>
  <si>
    <t>ĐỀ NGHỊ PHÂN BỔ KẾ HOẠCH KHỐI LƯỢNG, VỐN CÁC HOẠT ĐỘNG SỬ DỤNG VỐN ĐẦU TƯ CHƯƠNG TRÌNH MỤC TIÊU PHÁT TRIỂN LÂM NGHIỆP BỀN VỮNG TỈNH ĐIỆN BIÊN NĂM 2019</t>
  </si>
  <si>
    <t xml:space="preserve">Dự án bảo vệ và phát triển rừng cấp huyện </t>
  </si>
  <si>
    <t>Đơn vị tính: Triệu đồng</t>
  </si>
  <si>
    <t>Biểu 04:</t>
  </si>
  <si>
    <t>(Phương án phân bổ để thực hiện kế hoạch các năm 2019, 2020)</t>
  </si>
  <si>
    <t>Chăm sóc rừng trồng</t>
  </si>
  <si>
    <t>Trồng rừng tập trung</t>
  </si>
  <si>
    <t xml:space="preserve">Thanh toán khối lượng trồng rừng phòng hộ năm 2018 </t>
  </si>
  <si>
    <t>Huyện Điện Biên (Ban QLRPH huyện Điện Biên)</t>
  </si>
  <si>
    <t>Huyện Tuần Giáo (Ban QLRPH  huyện Tuần Giáo)</t>
  </si>
  <si>
    <t>Huyện Mường Chà (Ban QLRPH huyện Mường Chà)</t>
  </si>
  <si>
    <t>Huyện 
Mường Ảng</t>
  </si>
  <si>
    <t>Huyện 
Tủa Chùa</t>
  </si>
  <si>
    <t>Huyện 
Mường Nhé</t>
  </si>
  <si>
    <t>Huyện 
Nậm Pồ</t>
  </si>
  <si>
    <t>Huyện 
Điện Biên Đông</t>
  </si>
  <si>
    <t>KẾ HOẠCH PHÂN BỔ VỐN ĐẦU TƯ CHƯƠNG TRÌNH MỤC TIÊU PHÁT TRIỂN LÂM NGHIỆP BỀN VỮNG NĂM 2019</t>
  </si>
  <si>
    <t>Tổng số</t>
  </si>
  <si>
    <t>(Kèm theo Tờ trình số ......../TTr-UBND ngày    tháng 11 năm 2019)</t>
  </si>
  <si>
    <t>Biểu số 6</t>
  </si>
  <si>
    <t>Tỉnh Điện Biên</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</si>
</sst>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0_);_(* \(#,##0.0\);_(* &quot;-&quot;??_);_(@_)"/>
    <numFmt numFmtId="182" formatCode="_(* #,##0.00_);_(* \(#,##0.00\);_(* &quot;-&quot;???_);_(@_)"/>
    <numFmt numFmtId="183" formatCode="_(* #,##0_);_(* \(#,##0\);_(* &quot;-&quot;??_);_(@_)"/>
    <numFmt numFmtId="184" formatCode="_(* #,##0_);_(* \(#,##0\);_(* &quot;-&quot;???_);_(@_)"/>
    <numFmt numFmtId="185" formatCode="_-* #,##0\ _₫_-;\-* #,##0\ _₫_-;_-* &quot;-&quot;??\ _₫_-;_-@_-"/>
    <numFmt numFmtId="186" formatCode="_(* #,##0.00_);_(* \(#,##0.00\);_(* &quot;-&quot;?_);_(@_)"/>
    <numFmt numFmtId="187" formatCode="_-* #,##0.000\ _₫_-;\-* #,##0.000\ _₫_-;_-* &quot;-&quot;??\ _₫_-;_-@_-"/>
    <numFmt numFmtId="188" formatCode="_(* #,##0.0000_);_(* \(#,##0.0000\);_(* &quot;-&quot;??_);_(@_)"/>
    <numFmt numFmtId="189" formatCode="_(* #,##0.000_);_(* \(#,##0.000\);_(* &quot;-&quot;??_);_(@_)"/>
    <numFmt numFmtId="190" formatCode="_-* #,##0.0000\ _₫_-;\-* #,##0.0000\ _₫_-;_-* &quot;-&quot;??\ _₫_-;_-@_-"/>
    <numFmt numFmtId="191" formatCode="_-* #,##0.00000\ _₫_-;\-* #,##0.00000\ _₫_-;_-* &quot;-&quot;??\ _₫_-;_-@_-"/>
    <numFmt numFmtId="192" formatCode="0.0"/>
    <numFmt numFmtId="193" formatCode="_-* #,##0.0\ _₫_-;\-* #,##0.0\ _₫_-;_-* &quot;-&quot;??\ _₫_-;_-@_-"/>
    <numFmt numFmtId="194" formatCode="_(* #,##0.0_);_(* \(#,##0.0\);_(* &quot;-&quot;?_);_(@_)"/>
    <numFmt numFmtId="195" formatCode="0.0000"/>
    <numFmt numFmtId="196" formatCode="#,##0.0"/>
    <numFmt numFmtId="197" formatCode="_(* #,##0_);_(* \(#,##0\);_(* &quot;-&quot;?_);_(@_)"/>
    <numFmt numFmtId="198" formatCode="_(* #,##0.00000_);_(* \(#,##0.00000\);_(* &quot;-&quot;?_);_(@_)"/>
    <numFmt numFmtId="199" formatCode="_(* #,##0.0000_);_(* \(#,##0.0000\);_(* &quot;-&quot;?_);_(@_)"/>
    <numFmt numFmtId="200" formatCode="_(* #,##0.000_);_(* \(#,##0.000\);_(* &quot;-&quot;?_);_(@_)"/>
    <numFmt numFmtId="201" formatCode="_-* #,##0.000000\ _₫_-;\-* #,##0.000000\ _₫_-;_-* &quot;-&quot;??\ _₫_-;_-@_-"/>
    <numFmt numFmtId="202" formatCode="_-* #,##0.0000000\ _₫_-;\-* #,##0.0000000\ _₫_-;_-* &quot;-&quot;??\ _₫_-;_-@_-"/>
    <numFmt numFmtId="203" formatCode="_-* #,##0.00000000\ _₫_-;\-* #,##0.00000000\ _₫_-;_-* &quot;-&quot;??\ _₫_-;_-@_-"/>
    <numFmt numFmtId="204" formatCode="_(&quot;kr&quot;\ * #,##0_);_(&quot;kr&quot;\ * \(#,##0\);_(&quot;kr&quot;\ * &quot;-&quot;_);_(@_)"/>
    <numFmt numFmtId="205" formatCode="#,##0.000"/>
    <numFmt numFmtId="206" formatCode="0.000"/>
    <numFmt numFmtId="207" formatCode="_-* #,##0.0_-;\-* #,##0.0_-;_-* &quot;-&quot;?_-;_-@_-"/>
    <numFmt numFmtId="208" formatCode="_-* #,##0.0_-;\-* #,##0.0_-;_-* &quot;-&quot;??_-;_-@_-"/>
    <numFmt numFmtId="209" formatCode="_-* #,##0.0\ _₫_-;\-* #,##0.0\ _₫_-;_-* &quot;-&quot;?\ _₫_-;_-@_-"/>
    <numFmt numFmtId="210" formatCode="#,##0_ ;\-#,##0\ "/>
    <numFmt numFmtId="211" formatCode="#,##0.00_ ;\-#,##0.00\ "/>
    <numFmt numFmtId="212" formatCode="#,##0.0_ ;\-#,##0.0\ "/>
    <numFmt numFmtId="213" formatCode="_(* #,##0.00000_);_(* \(#,##0.00000\);_(* &quot;-&quot;??_);_(@_)"/>
    <numFmt numFmtId="214" formatCode="_(* #,##0.000000_);_(* \(#,##0.000000\);_(* &quot;-&quot;??_);_(@_)"/>
  </numFmts>
  <fonts count="77">
    <font>
      <sz val="10"/>
      <name val="Arial"/>
      <family val="0"/>
    </font>
    <font>
      <b/>
      <sz val="12"/>
      <name val="Times New Roman"/>
      <family val="1"/>
    </font>
    <font>
      <b/>
      <sz val="10"/>
      <name val="Times New Roman"/>
      <family val="1"/>
    </font>
    <font>
      <sz val="10"/>
      <name val="Times New Roman"/>
      <family val="1"/>
    </font>
    <font>
      <sz val="8"/>
      <name val="Arial"/>
      <family val="2"/>
    </font>
    <font>
      <u val="single"/>
      <sz val="10"/>
      <color indexed="12"/>
      <name val="Arial"/>
      <family val="2"/>
    </font>
    <font>
      <u val="single"/>
      <sz val="10"/>
      <color indexed="36"/>
      <name val="Arial"/>
      <family val="2"/>
    </font>
    <font>
      <b/>
      <sz val="10"/>
      <name val="Arial"/>
      <family val="2"/>
    </font>
    <font>
      <i/>
      <sz val="13"/>
      <name val="3C_Times_T"/>
      <family val="0"/>
    </font>
    <font>
      <sz val="10"/>
      <color indexed="8"/>
      <name val="Arial"/>
      <family val="2"/>
    </font>
    <font>
      <i/>
      <sz val="10"/>
      <name val="MS Sans Serif"/>
      <family val="2"/>
    </font>
    <font>
      <sz val="12"/>
      <name val="VNI-Times"/>
      <family val="0"/>
    </font>
    <font>
      <sz val="12"/>
      <name val="Times New Roman"/>
      <family val="1"/>
    </font>
    <font>
      <sz val="9"/>
      <name val="Tahoma"/>
      <family val="2"/>
    </font>
    <font>
      <b/>
      <sz val="9"/>
      <name val="Tahoma"/>
      <family val="2"/>
    </font>
    <font>
      <i/>
      <sz val="10"/>
      <name val="Times New Roman"/>
      <family val="1"/>
    </font>
    <font>
      <b/>
      <sz val="11"/>
      <name val="Times New Roman"/>
      <family val="1"/>
    </font>
    <font>
      <sz val="11"/>
      <name val="Times New Roman"/>
      <family val="1"/>
    </font>
    <font>
      <sz val="10"/>
      <color indexed="8"/>
      <name val="MS Sans Serif"/>
      <family val="2"/>
    </font>
    <font>
      <sz val="9"/>
      <name val="Times New Roman"/>
      <family val="1"/>
    </font>
    <font>
      <b/>
      <sz val="9"/>
      <name val="Times New Roman"/>
      <family val="1"/>
    </font>
    <font>
      <sz val="9"/>
      <name val="Arial"/>
      <family val="2"/>
    </font>
    <font>
      <b/>
      <sz val="9"/>
      <name val="Arial"/>
      <family val="2"/>
    </font>
    <font>
      <i/>
      <sz val="12"/>
      <name val="Times New Roman"/>
      <family val="1"/>
    </font>
    <font>
      <i/>
      <sz val="11"/>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9"/>
      <color indexed="10"/>
      <name val="Arial"/>
      <family val="2"/>
    </font>
    <font>
      <sz val="9"/>
      <color indexed="10"/>
      <name val="Arial"/>
      <family val="2"/>
    </font>
    <font>
      <i/>
      <sz val="10"/>
      <color indexed="8"/>
      <name val="Times New Roman"/>
      <family val="1"/>
    </font>
    <font>
      <sz val="10"/>
      <color indexed="8"/>
      <name val="Times New Roman"/>
      <family val="1"/>
    </font>
    <font>
      <sz val="9"/>
      <color indexed="8"/>
      <name val="Arial"/>
      <family val="2"/>
    </font>
    <font>
      <b/>
      <i/>
      <sz val="11"/>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9"/>
      <color rgb="FFFF0000"/>
      <name val="Arial"/>
      <family val="2"/>
    </font>
    <font>
      <sz val="9"/>
      <color rgb="FFFF0000"/>
      <name val="Arial"/>
      <family val="2"/>
    </font>
    <font>
      <i/>
      <sz val="10"/>
      <color theme="1"/>
      <name val="Times New Roman"/>
      <family val="1"/>
    </font>
    <font>
      <sz val="10"/>
      <color theme="1"/>
      <name val="Times New Roman"/>
      <family val="1"/>
    </font>
    <font>
      <sz val="9"/>
      <color theme="1"/>
      <name val="Arial"/>
      <family val="2"/>
    </font>
    <font>
      <b/>
      <i/>
      <sz val="11"/>
      <color theme="1"/>
      <name val="Times New Roman"/>
      <family val="1"/>
    </font>
    <font>
      <b/>
      <sz val="10"/>
      <color theme="1"/>
      <name val="Times New Roman"/>
      <family val="1"/>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6" fontId="18" fillId="0" borderId="0" applyFon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5">
    <xf numFmtId="0" fontId="0" fillId="0" borderId="0" xfId="0"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1" fontId="3" fillId="0" borderId="10" xfId="43" applyFont="1" applyFill="1" applyBorder="1" applyAlignment="1">
      <alignment horizontal="center" vertical="center" wrapText="1"/>
    </xf>
    <xf numFmtId="171" fontId="2" fillId="0" borderId="10" xfId="43"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quotePrefix="1">
      <alignment horizontal="center" vertical="center" wrapText="1"/>
    </xf>
    <xf numFmtId="16" fontId="3" fillId="0" borderId="10" xfId="0" applyNumberFormat="1" applyFont="1" applyFill="1" applyBorder="1" applyAlignment="1" quotePrefix="1">
      <alignment horizontal="center" vertical="center" wrapText="1"/>
    </xf>
    <xf numFmtId="180" fontId="2" fillId="0" borderId="10" xfId="0" applyNumberFormat="1" applyFont="1" applyFill="1" applyBorder="1" applyAlignment="1">
      <alignment horizontal="center" vertical="center" wrapText="1"/>
    </xf>
    <xf numFmtId="181" fontId="3" fillId="0" borderId="10" xfId="43" applyNumberFormat="1" applyFont="1" applyFill="1" applyBorder="1" applyAlignment="1">
      <alignment horizontal="center" vertical="center" wrapText="1"/>
    </xf>
    <xf numFmtId="171" fontId="3" fillId="0" borderId="10" xfId="43" applyFont="1" applyFill="1" applyBorder="1" applyAlignment="1">
      <alignment horizontal="left" vertical="center" wrapText="1"/>
    </xf>
    <xf numFmtId="185" fontId="2" fillId="0" borderId="10" xfId="43" applyNumberFormat="1"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71" fontId="3" fillId="0" borderId="0" xfId="43" applyFont="1" applyFill="1" applyAlignment="1">
      <alignment horizontal="center" vertical="center" wrapText="1"/>
    </xf>
    <xf numFmtId="0" fontId="2" fillId="0" borderId="10" xfId="0" applyFont="1" applyFill="1" applyBorder="1" applyAlignment="1" quotePrefix="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horizontal="left" vertical="center"/>
    </xf>
    <xf numFmtId="0" fontId="15" fillId="0" borderId="0" xfId="0" applyFont="1" applyFill="1" applyAlignment="1">
      <alignment horizontal="center" vertical="center"/>
    </xf>
    <xf numFmtId="0" fontId="3" fillId="0" borderId="10" xfId="0" applyFont="1" applyFill="1" applyBorder="1" applyAlignment="1">
      <alignment horizontal="center" vertical="center" wrapText="1"/>
    </xf>
    <xf numFmtId="193" fontId="2" fillId="0" borderId="10" xfId="43"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43" fontId="3" fillId="0" borderId="10" xfId="0" applyNumberFormat="1" applyFont="1" applyFill="1" applyBorder="1" applyAlignment="1">
      <alignment horizontal="center" vertical="center" wrapText="1"/>
    </xf>
    <xf numFmtId="193" fontId="3" fillId="0" borderId="10" xfId="43" applyNumberFormat="1" applyFont="1" applyFill="1" applyBorder="1" applyAlignment="1">
      <alignment horizontal="center" vertical="center" wrapText="1"/>
    </xf>
    <xf numFmtId="185" fontId="3" fillId="0" borderId="10" xfId="43" applyNumberFormat="1" applyFont="1" applyFill="1" applyBorder="1" applyAlignment="1">
      <alignment horizontal="center" vertical="center" wrapText="1"/>
    </xf>
    <xf numFmtId="183" fontId="3"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183" fontId="3" fillId="0" borderId="0" xfId="0" applyNumberFormat="1" applyFont="1" applyFill="1" applyAlignment="1">
      <alignment horizontal="center" vertical="center" wrapText="1"/>
    </xf>
    <xf numFmtId="180" fontId="3" fillId="0" borderId="10" xfId="0" applyNumberFormat="1" applyFont="1" applyFill="1" applyBorder="1" applyAlignment="1">
      <alignment horizontal="center" vertical="center" wrapText="1"/>
    </xf>
    <xf numFmtId="185" fontId="3" fillId="0" borderId="10" xfId="0" applyNumberFormat="1" applyFont="1" applyFill="1" applyBorder="1" applyAlignment="1">
      <alignment horizontal="center" vertical="center" wrapText="1"/>
    </xf>
    <xf numFmtId="171" fontId="3" fillId="0" borderId="10" xfId="0" applyNumberFormat="1" applyFont="1" applyFill="1" applyBorder="1" applyAlignment="1">
      <alignment horizontal="center" vertical="center" wrapText="1"/>
    </xf>
    <xf numFmtId="171" fontId="3" fillId="0" borderId="10" xfId="43" applyNumberFormat="1" applyFont="1" applyFill="1" applyBorder="1" applyAlignment="1">
      <alignment horizontal="center" vertical="center" wrapText="1"/>
    </xf>
    <xf numFmtId="16" fontId="2" fillId="0" borderId="10" xfId="0" applyNumberFormat="1" applyFont="1" applyFill="1" applyBorder="1" applyAlignment="1" quotePrefix="1">
      <alignment horizontal="center" vertical="center" wrapText="1"/>
    </xf>
    <xf numFmtId="171" fontId="2" fillId="0" borderId="10" xfId="43" applyNumberFormat="1" applyFont="1" applyFill="1" applyBorder="1" applyAlignment="1">
      <alignment horizontal="center" vertical="center" wrapText="1"/>
    </xf>
    <xf numFmtId="183" fontId="2" fillId="0" borderId="10" xfId="43" applyNumberFormat="1" applyFont="1" applyFill="1" applyBorder="1" applyAlignment="1">
      <alignment horizontal="center" vertical="center" wrapText="1"/>
    </xf>
    <xf numFmtId="183" fontId="3" fillId="0" borderId="10" xfId="43" applyNumberFormat="1" applyFont="1" applyFill="1" applyBorder="1" applyAlignment="1">
      <alignment horizontal="center" vertical="center" wrapText="1"/>
    </xf>
    <xf numFmtId="0" fontId="12" fillId="0" borderId="0" xfId="0" applyFont="1" applyAlignment="1">
      <alignment vertical="center"/>
    </xf>
    <xf numFmtId="0" fontId="1" fillId="0" borderId="0" xfId="0" applyFont="1" applyAlignment="1">
      <alignment vertical="center"/>
    </xf>
    <xf numFmtId="0" fontId="12" fillId="0" borderId="0" xfId="0" applyFont="1" applyAlignment="1">
      <alignment horizontal="center" vertical="center"/>
    </xf>
    <xf numFmtId="185" fontId="12" fillId="0" borderId="0" xfId="0" applyNumberFormat="1" applyFont="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0" xfId="0" applyFont="1" applyFill="1" applyAlignment="1">
      <alignment vertical="center"/>
    </xf>
    <xf numFmtId="183" fontId="3" fillId="0" borderId="10" xfId="43" applyNumberFormat="1" applyFont="1" applyFill="1" applyBorder="1" applyAlignment="1">
      <alignment horizontal="right" vertical="center" wrapText="1"/>
    </xf>
    <xf numFmtId="197" fontId="3" fillId="0" borderId="10" xfId="0" applyNumberFormat="1" applyFont="1" applyFill="1" applyBorder="1" applyAlignment="1">
      <alignment horizontal="right" vertical="center" wrapText="1"/>
    </xf>
    <xf numFmtId="183" fontId="3" fillId="0" borderId="10" xfId="0" applyNumberFormat="1" applyFont="1" applyFill="1" applyBorder="1" applyAlignment="1">
      <alignment horizontal="right" vertical="center" wrapText="1"/>
    </xf>
    <xf numFmtId="16" fontId="3" fillId="0" borderId="10" xfId="0" applyNumberFormat="1" applyFont="1" applyFill="1" applyBorder="1" applyAlignment="1">
      <alignment horizontal="center" vertical="center" wrapText="1"/>
    </xf>
    <xf numFmtId="185" fontId="3" fillId="0" borderId="10" xfId="43" applyNumberFormat="1" applyFont="1" applyFill="1" applyBorder="1" applyAlignment="1" quotePrefix="1">
      <alignment horizontal="center" vertical="center" wrapText="1"/>
    </xf>
    <xf numFmtId="197" fontId="2" fillId="0" borderId="10" xfId="0" applyNumberFormat="1" applyFont="1" applyFill="1" applyBorder="1" applyAlignment="1">
      <alignment horizontal="center" vertical="center" wrapText="1"/>
    </xf>
    <xf numFmtId="0" fontId="3" fillId="31" borderId="0" xfId="0" applyFont="1" applyFill="1" applyAlignment="1">
      <alignment vertical="center"/>
    </xf>
    <xf numFmtId="197" fontId="2" fillId="31" borderId="10" xfId="0" applyNumberFormat="1" applyFont="1" applyFill="1" applyBorder="1" applyAlignment="1">
      <alignment horizontal="center" vertical="center" wrapText="1"/>
    </xf>
    <xf numFmtId="0" fontId="2" fillId="31" borderId="10" xfId="0" applyFont="1" applyFill="1" applyBorder="1" applyAlignment="1">
      <alignment horizontal="center" vertical="center" wrapText="1"/>
    </xf>
    <xf numFmtId="185" fontId="2" fillId="31" borderId="10" xfId="43" applyNumberFormat="1" applyFont="1" applyFill="1" applyBorder="1" applyAlignment="1">
      <alignment horizontal="center" vertical="center" wrapText="1"/>
    </xf>
    <xf numFmtId="185" fontId="3" fillId="31" borderId="10" xfId="43" applyNumberFormat="1" applyFont="1" applyFill="1" applyBorder="1" applyAlignment="1">
      <alignment horizontal="center" vertical="center" wrapText="1"/>
    </xf>
    <xf numFmtId="183" fontId="3" fillId="31" borderId="10" xfId="0" applyNumberFormat="1" applyFont="1" applyFill="1" applyBorder="1" applyAlignment="1">
      <alignment horizontal="right" vertical="center" wrapText="1"/>
    </xf>
    <xf numFmtId="183" fontId="3" fillId="31" borderId="10" xfId="43" applyNumberFormat="1" applyFont="1" applyFill="1" applyBorder="1" applyAlignment="1">
      <alignment horizontal="right" vertical="center" wrapText="1"/>
    </xf>
    <xf numFmtId="193" fontId="3" fillId="31" borderId="10" xfId="43" applyNumberFormat="1" applyFont="1" applyFill="1" applyBorder="1" applyAlignment="1">
      <alignment horizontal="center" vertical="center" wrapText="1"/>
    </xf>
    <xf numFmtId="185" fontId="3" fillId="31" borderId="10" xfId="43" applyNumberFormat="1" applyFont="1" applyFill="1" applyBorder="1" applyAlignment="1" quotePrefix="1">
      <alignment horizontal="center" vertical="center" wrapText="1"/>
    </xf>
    <xf numFmtId="0" fontId="2" fillId="0" borderId="11" xfId="0" applyFont="1" applyFill="1" applyBorder="1" applyAlignment="1">
      <alignment vertical="center" wrapText="1"/>
    </xf>
    <xf numFmtId="0" fontId="2" fillId="0" borderId="0" xfId="0" applyFont="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171" fontId="3" fillId="0" borderId="0" xfId="43" applyFont="1" applyFill="1" applyAlignment="1">
      <alignment horizontal="center" vertical="center"/>
    </xf>
    <xf numFmtId="194" fontId="3" fillId="0" borderId="10" xfId="0" applyNumberFormat="1" applyFont="1" applyFill="1" applyBorder="1" applyAlignment="1">
      <alignment vertical="center" wrapText="1"/>
    </xf>
    <xf numFmtId="197" fontId="3" fillId="0" borderId="10" xfId="0" applyNumberFormat="1" applyFont="1" applyFill="1" applyBorder="1" applyAlignment="1">
      <alignment vertical="center" wrapText="1"/>
    </xf>
    <xf numFmtId="0" fontId="3" fillId="0" borderId="0" xfId="0" applyFont="1" applyAlignment="1">
      <alignment horizontal="center" vertical="center"/>
    </xf>
    <xf numFmtId="0" fontId="16" fillId="0" borderId="10" xfId="0" applyFont="1" applyBorder="1" applyAlignment="1">
      <alignment horizontal="center" vertical="center"/>
    </xf>
    <xf numFmtId="185" fontId="16" fillId="0" borderId="10" xfId="43" applyNumberFormat="1" applyFont="1" applyBorder="1" applyAlignment="1">
      <alignment horizontal="center" vertical="center"/>
    </xf>
    <xf numFmtId="0" fontId="16" fillId="0" borderId="10" xfId="0" applyFont="1" applyBorder="1" applyAlignment="1">
      <alignment horizontal="left" vertical="center"/>
    </xf>
    <xf numFmtId="0" fontId="17" fillId="0" borderId="10" xfId="0" applyFont="1" applyBorder="1" applyAlignment="1">
      <alignment horizontal="center" vertical="center"/>
    </xf>
    <xf numFmtId="0" fontId="17" fillId="0" borderId="10" xfId="0" applyFont="1" applyBorder="1" applyAlignment="1">
      <alignment vertical="center"/>
    </xf>
    <xf numFmtId="185" fontId="16" fillId="0" borderId="10" xfId="43" applyNumberFormat="1" applyFont="1" applyFill="1" applyBorder="1" applyAlignment="1">
      <alignment horizontal="center" vertical="center"/>
    </xf>
    <xf numFmtId="185" fontId="17" fillId="0" borderId="10" xfId="43" applyNumberFormat="1" applyFont="1" applyBorder="1" applyAlignment="1">
      <alignment horizontal="center" vertical="center"/>
    </xf>
    <xf numFmtId="0" fontId="16" fillId="0" borderId="10" xfId="0" applyFont="1" applyBorder="1" applyAlignment="1">
      <alignment vertical="center"/>
    </xf>
    <xf numFmtId="193" fontId="3" fillId="0" borderId="10" xfId="0" applyNumberFormat="1" applyFont="1" applyFill="1" applyBorder="1" applyAlignment="1">
      <alignment horizontal="center" vertical="center" wrapText="1"/>
    </xf>
    <xf numFmtId="171" fontId="2" fillId="32" borderId="10" xfId="43" applyFont="1" applyFill="1" applyBorder="1" applyAlignment="1">
      <alignment horizontal="center" vertical="center" wrapText="1"/>
    </xf>
    <xf numFmtId="171" fontId="3" fillId="32" borderId="10" xfId="43" applyFont="1" applyFill="1" applyBorder="1" applyAlignment="1">
      <alignment horizontal="center" vertical="center" wrapText="1"/>
    </xf>
    <xf numFmtId="185" fontId="3" fillId="32" borderId="10" xfId="43" applyNumberFormat="1" applyFont="1" applyFill="1" applyBorder="1" applyAlignment="1">
      <alignment horizontal="center" vertical="center" wrapText="1"/>
    </xf>
    <xf numFmtId="171" fontId="3" fillId="32" borderId="10" xfId="43" applyNumberFormat="1" applyFont="1" applyFill="1" applyBorder="1" applyAlignment="1">
      <alignment horizontal="center" vertical="center" wrapText="1"/>
    </xf>
    <xf numFmtId="16" fontId="3" fillId="0" borderId="10" xfId="0" applyNumberFormat="1" applyFont="1" applyFill="1" applyBorder="1" applyAlignment="1" quotePrefix="1">
      <alignment horizontal="center" vertical="center" wrapText="1"/>
    </xf>
    <xf numFmtId="0" fontId="3" fillId="0" borderId="10" xfId="0" applyFont="1" applyFill="1" applyBorder="1" applyAlignment="1">
      <alignment horizontal="left" vertical="center" wrapText="1"/>
    </xf>
    <xf numFmtId="185" fontId="3" fillId="0" borderId="10" xfId="43" applyNumberFormat="1" applyFont="1" applyFill="1" applyBorder="1" applyAlignment="1">
      <alignment horizontal="center" vertical="center" wrapText="1"/>
    </xf>
    <xf numFmtId="171" fontId="3" fillId="0" borderId="10" xfId="43" applyFont="1" applyFill="1" applyBorder="1" applyAlignment="1">
      <alignment horizontal="center" vertical="center" wrapText="1"/>
    </xf>
    <xf numFmtId="0" fontId="3" fillId="0" borderId="0" xfId="0" applyFont="1" applyFill="1" applyAlignment="1">
      <alignment horizontal="center" vertical="center" wrapText="1"/>
    </xf>
    <xf numFmtId="193" fontId="3" fillId="0" borderId="10" xfId="43" applyNumberFormat="1" applyFont="1" applyFill="1" applyBorder="1" applyAlignment="1">
      <alignment horizontal="center" vertical="center" wrapText="1"/>
    </xf>
    <xf numFmtId="43" fontId="2" fillId="0" borderId="10" xfId="0" applyNumberFormat="1" applyFont="1" applyFill="1" applyBorder="1" applyAlignment="1">
      <alignment horizontal="center" vertical="center" wrapText="1"/>
    </xf>
    <xf numFmtId="0" fontId="3" fillId="32" borderId="0" xfId="0" applyFont="1" applyFill="1" applyAlignment="1">
      <alignment horizontal="center" vertical="center"/>
    </xf>
    <xf numFmtId="193" fontId="2" fillId="32" borderId="10" xfId="43" applyNumberFormat="1" applyFont="1" applyFill="1" applyBorder="1" applyAlignment="1">
      <alignment horizontal="center" vertical="center" wrapText="1"/>
    </xf>
    <xf numFmtId="193" fontId="3" fillId="32" borderId="10" xfId="43" applyNumberFormat="1" applyFont="1" applyFill="1" applyBorder="1" applyAlignment="1">
      <alignment horizontal="center" vertical="center" wrapText="1"/>
    </xf>
    <xf numFmtId="185" fontId="2" fillId="32" borderId="10" xfId="43" applyNumberFormat="1" applyFont="1" applyFill="1" applyBorder="1" applyAlignment="1">
      <alignment horizontal="center" vertical="center" wrapText="1"/>
    </xf>
    <xf numFmtId="0" fontId="3" fillId="32" borderId="10" xfId="0" applyFont="1" applyFill="1" applyBorder="1" applyAlignment="1">
      <alignment vertical="center"/>
    </xf>
    <xf numFmtId="0" fontId="3" fillId="32" borderId="0" xfId="0" applyFont="1" applyFill="1" applyAlignment="1">
      <alignment vertical="center"/>
    </xf>
    <xf numFmtId="0" fontId="17" fillId="0" borderId="10" xfId="0" applyFont="1" applyBorder="1" applyAlignment="1">
      <alignment horizontal="center" vertical="center"/>
    </xf>
    <xf numFmtId="0" fontId="17" fillId="0" borderId="10" xfId="0" applyFont="1" applyBorder="1" applyAlignment="1">
      <alignment vertical="center"/>
    </xf>
    <xf numFmtId="185" fontId="17" fillId="0" borderId="10" xfId="43" applyNumberFormat="1" applyFont="1" applyFill="1" applyBorder="1" applyAlignment="1">
      <alignment horizontal="center" vertical="center"/>
    </xf>
    <xf numFmtId="185" fontId="17" fillId="0" borderId="10" xfId="43" applyNumberFormat="1" applyFont="1" applyBorder="1" applyAlignment="1">
      <alignment horizontal="center" vertical="center"/>
    </xf>
    <xf numFmtId="0" fontId="12" fillId="0" borderId="0" xfId="0" applyFont="1" applyAlignment="1">
      <alignment vertical="center"/>
    </xf>
    <xf numFmtId="0" fontId="68" fillId="0" borderId="0" xfId="0" applyFont="1" applyFill="1" applyAlignment="1">
      <alignment vertical="center"/>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xf>
    <xf numFmtId="0" fontId="69" fillId="0" borderId="0" xfId="0" applyFont="1" applyFill="1" applyAlignment="1">
      <alignment/>
    </xf>
    <xf numFmtId="0" fontId="19" fillId="0" borderId="10" xfId="0" applyFont="1" applyFill="1" applyBorder="1" applyAlignment="1">
      <alignment vertical="center" wrapText="1"/>
    </xf>
    <xf numFmtId="0" fontId="70" fillId="0" borderId="0" xfId="0" applyFont="1" applyFill="1" applyAlignment="1">
      <alignment/>
    </xf>
    <xf numFmtId="0" fontId="20" fillId="0" borderId="10" xfId="0" applyFont="1" applyFill="1" applyBorder="1" applyAlignment="1">
      <alignment horizontal="center" vertical="center" wrapText="1"/>
    </xf>
    <xf numFmtId="0" fontId="71" fillId="0" borderId="0" xfId="0" applyFont="1" applyFill="1" applyBorder="1" applyAlignment="1">
      <alignment horizontal="center" vertical="center"/>
    </xf>
    <xf numFmtId="0" fontId="71" fillId="0" borderId="12" xfId="0" applyFont="1" applyFill="1" applyBorder="1" applyAlignment="1">
      <alignment horizontal="center" vertical="center"/>
    </xf>
    <xf numFmtId="193" fontId="21" fillId="0" borderId="0" xfId="43" applyNumberFormat="1" applyFont="1" applyFill="1" applyAlignment="1">
      <alignment/>
    </xf>
    <xf numFmtId="196" fontId="21" fillId="0" borderId="0" xfId="0" applyNumberFormat="1" applyFont="1" applyFill="1" applyAlignment="1">
      <alignment/>
    </xf>
    <xf numFmtId="185" fontId="22" fillId="0" borderId="0" xfId="43" applyNumberFormat="1" applyFont="1" applyFill="1" applyAlignment="1">
      <alignment/>
    </xf>
    <xf numFmtId="0" fontId="23" fillId="0" borderId="0" xfId="0" applyFont="1" applyFill="1" applyAlignment="1">
      <alignment/>
    </xf>
    <xf numFmtId="0" fontId="19" fillId="0" borderId="10" xfId="0" applyFont="1" applyFill="1" applyBorder="1" applyAlignment="1">
      <alignment horizontal="center" vertical="center"/>
    </xf>
    <xf numFmtId="183" fontId="20" fillId="0" borderId="10" xfId="0" applyNumberFormat="1" applyFont="1" applyFill="1" applyBorder="1" applyAlignment="1">
      <alignment horizontal="right" vertical="center" wrapText="1"/>
    </xf>
    <xf numFmtId="43" fontId="19" fillId="0" borderId="10" xfId="0" applyNumberFormat="1" applyFont="1" applyFill="1" applyBorder="1" applyAlignment="1">
      <alignment horizontal="right" vertical="center" wrapText="1"/>
    </xf>
    <xf numFmtId="183" fontId="19" fillId="0" borderId="10" xfId="0" applyNumberFormat="1" applyFont="1" applyFill="1" applyBorder="1" applyAlignment="1">
      <alignment horizontal="right" vertical="center" wrapText="1"/>
    </xf>
    <xf numFmtId="183" fontId="2" fillId="0" borderId="10" xfId="0" applyNumberFormat="1" applyFont="1" applyFill="1" applyBorder="1" applyAlignment="1">
      <alignment horizontal="right"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vertical="center" wrapText="1"/>
    </xf>
    <xf numFmtId="183" fontId="72" fillId="0" borderId="10" xfId="0" applyNumberFormat="1" applyFont="1" applyFill="1" applyBorder="1" applyAlignment="1">
      <alignment horizontal="right" vertical="center" wrapText="1"/>
    </xf>
    <xf numFmtId="196" fontId="73" fillId="0" borderId="0" xfId="0" applyNumberFormat="1" applyFont="1" applyFill="1" applyAlignment="1">
      <alignment/>
    </xf>
    <xf numFmtId="193" fontId="73" fillId="0" borderId="0" xfId="43" applyNumberFormat="1" applyFont="1" applyFill="1" applyAlignment="1">
      <alignment/>
    </xf>
    <xf numFmtId="43" fontId="3" fillId="0" borderId="10" xfId="0" applyNumberFormat="1" applyFont="1" applyFill="1" applyBorder="1" applyAlignment="1">
      <alignment horizontal="right" vertical="center" wrapText="1"/>
    </xf>
    <xf numFmtId="0" fontId="3" fillId="0" borderId="10" xfId="0" applyFont="1" applyFill="1" applyBorder="1" applyAlignment="1" quotePrefix="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183" fontId="70" fillId="0" borderId="0" xfId="0" applyNumberFormat="1" applyFont="1" applyFill="1" applyAlignment="1">
      <alignment/>
    </xf>
    <xf numFmtId="183" fontId="21" fillId="0" borderId="0" xfId="0" applyNumberFormat="1" applyFont="1" applyFill="1" applyAlignment="1">
      <alignment/>
    </xf>
    <xf numFmtId="0" fontId="2" fillId="0"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15" fillId="0" borderId="0" xfId="0" applyFont="1" applyFill="1" applyAlignment="1">
      <alignment horizontal="left" vertical="center"/>
    </xf>
    <xf numFmtId="0" fontId="3"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right" vertical="center"/>
    </xf>
    <xf numFmtId="0" fontId="15"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6" fillId="0" borderId="10" xfId="0" applyFont="1" applyBorder="1" applyAlignment="1">
      <alignment horizontal="center" vertical="center"/>
    </xf>
    <xf numFmtId="0" fontId="15" fillId="0" borderId="0" xfId="0" applyFont="1" applyAlignment="1">
      <alignment horizontal="left" vertical="center"/>
    </xf>
    <xf numFmtId="0" fontId="1" fillId="0" borderId="0" xfId="0" applyFont="1" applyAlignment="1">
      <alignment horizontal="center" vertical="center"/>
    </xf>
    <xf numFmtId="0" fontId="3" fillId="0" borderId="12" xfId="0" applyFont="1" applyBorder="1" applyAlignment="1">
      <alignment horizontal="right" vertical="center" wrapText="1"/>
    </xf>
    <xf numFmtId="0" fontId="15"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171" fontId="2" fillId="0" borderId="15" xfId="43" applyFont="1" applyFill="1" applyBorder="1" applyAlignment="1">
      <alignment horizontal="center" vertical="center" wrapText="1"/>
    </xf>
    <xf numFmtId="171" fontId="2" fillId="0" borderId="16" xfId="43" applyFont="1" applyFill="1" applyBorder="1" applyAlignment="1">
      <alignment horizontal="center" vertical="center" wrapText="1"/>
    </xf>
    <xf numFmtId="171" fontId="2" fillId="0" borderId="11" xfId="43"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1" borderId="15" xfId="0" applyFont="1" applyFill="1" applyBorder="1" applyAlignment="1">
      <alignment horizontal="center" vertical="center" wrapText="1"/>
    </xf>
    <xf numFmtId="0" fontId="2" fillId="31" borderId="16" xfId="0" applyFont="1" applyFill="1" applyBorder="1" applyAlignment="1">
      <alignment horizontal="center" vertical="center" wrapText="1"/>
    </xf>
    <xf numFmtId="0" fontId="2" fillId="31" borderId="11" xfId="0" applyFont="1" applyFill="1" applyBorder="1" applyAlignment="1">
      <alignment horizontal="center" vertical="center" wrapText="1"/>
    </xf>
    <xf numFmtId="0" fontId="2" fillId="31" borderId="10" xfId="0" applyFont="1" applyFill="1" applyBorder="1" applyAlignment="1">
      <alignment horizontal="center" vertical="center"/>
    </xf>
    <xf numFmtId="171" fontId="2"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4" fillId="0" borderId="12" xfId="0" applyFont="1" applyFill="1" applyBorder="1" applyAlignment="1">
      <alignment horizontal="right" vertical="center"/>
    </xf>
    <xf numFmtId="0" fontId="23" fillId="0" borderId="0" xfId="0" applyFont="1" applyFill="1" applyAlignment="1">
      <alignment horizontal="center" vertical="center" wrapText="1"/>
    </xf>
    <xf numFmtId="0" fontId="1" fillId="0" borderId="0" xfId="0" applyFont="1" applyFill="1" applyAlignment="1">
      <alignment horizontal="center" vertical="center"/>
    </xf>
    <xf numFmtId="0" fontId="25" fillId="0" borderId="0" xfId="0" applyFont="1" applyFill="1" applyAlignment="1">
      <alignment horizontal="right" vertical="center"/>
    </xf>
    <xf numFmtId="171" fontId="20" fillId="0" borderId="13" xfId="0" applyNumberFormat="1" applyFont="1" applyFill="1" applyBorder="1" applyAlignment="1">
      <alignment horizontal="center" vertical="center" wrapText="1"/>
    </xf>
    <xf numFmtId="171" fontId="20" fillId="0" borderId="14" xfId="0" applyNumberFormat="1" applyFont="1" applyFill="1" applyBorder="1" applyAlignment="1">
      <alignment horizontal="center" vertical="center" wrapText="1"/>
    </xf>
    <xf numFmtId="0" fontId="74" fillId="0" borderId="0" xfId="0" applyFont="1" applyFill="1" applyBorder="1" applyAlignment="1">
      <alignment horizontal="center" vertical="center"/>
    </xf>
    <xf numFmtId="0" fontId="75" fillId="0" borderId="0" xfId="0" applyFont="1" applyFill="1" applyAlignment="1">
      <alignment horizontal="center" vertical="center" wrapText="1"/>
    </xf>
    <xf numFmtId="0" fontId="20" fillId="0" borderId="1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xf>
    <xf numFmtId="0" fontId="71" fillId="0" borderId="12" xfId="0" applyFont="1" applyFill="1" applyBorder="1" applyAlignment="1">
      <alignment horizontal="center" vertical="center"/>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8"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2" xfId="61"/>
    <cellStyle name="Normal 95" xfId="62"/>
    <cellStyle name="Normal 96" xfId="63"/>
    <cellStyle name="Normal 9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4"/>
  </sheetPr>
  <dimension ref="A1:N35"/>
  <sheetViews>
    <sheetView zoomScalePageLayoutView="0" workbookViewId="0" topLeftCell="A1">
      <pane ySplit="7" topLeftCell="A26" activePane="bottomLeft" state="frozen"/>
      <selection pane="topLeft" activeCell="A1" sqref="A1"/>
      <selection pane="bottomLeft" activeCell="F25" sqref="F25"/>
    </sheetView>
  </sheetViews>
  <sheetFormatPr defaultColWidth="9.140625" defaultRowHeight="12.75"/>
  <cols>
    <col min="1" max="1" width="4.7109375" style="17" customWidth="1"/>
    <col min="2" max="2" width="36.7109375" style="20" customWidth="1"/>
    <col min="3" max="3" width="7.7109375" style="17" customWidth="1"/>
    <col min="4" max="4" width="11.7109375" style="18" customWidth="1"/>
    <col min="5" max="6" width="10.7109375" style="18" customWidth="1"/>
    <col min="7" max="7" width="10.7109375" style="99" customWidth="1"/>
    <col min="8" max="13" width="10.7109375" style="18" customWidth="1"/>
    <col min="14" max="14" width="10.00390625" style="18" customWidth="1"/>
    <col min="15" max="16384" width="9.140625" style="18" customWidth="1"/>
  </cols>
  <sheetData>
    <row r="1" spans="1:14" ht="16.5" customHeight="1">
      <c r="A1" s="137" t="s">
        <v>101</v>
      </c>
      <c r="B1" s="137"/>
      <c r="C1" s="21"/>
      <c r="D1" s="17"/>
      <c r="E1" s="17"/>
      <c r="F1" s="17"/>
      <c r="G1" s="94"/>
      <c r="H1" s="17"/>
      <c r="I1" s="17"/>
      <c r="J1" s="17"/>
      <c r="K1" s="17"/>
      <c r="L1" s="17"/>
      <c r="M1" s="17"/>
      <c r="N1" s="17"/>
    </row>
    <row r="2" spans="1:14" ht="16.5" customHeight="1">
      <c r="A2" s="139" t="s">
        <v>53</v>
      </c>
      <c r="B2" s="139"/>
      <c r="C2" s="139"/>
      <c r="D2" s="139"/>
      <c r="E2" s="139"/>
      <c r="F2" s="139"/>
      <c r="G2" s="139"/>
      <c r="H2" s="139"/>
      <c r="I2" s="139"/>
      <c r="J2" s="139"/>
      <c r="K2" s="139"/>
      <c r="L2" s="139"/>
      <c r="M2" s="139"/>
      <c r="N2" s="139"/>
    </row>
    <row r="3" spans="1:14" ht="16.5" customHeight="1">
      <c r="A3" s="139" t="s">
        <v>16</v>
      </c>
      <c r="B3" s="139"/>
      <c r="C3" s="139"/>
      <c r="D3" s="139"/>
      <c r="E3" s="139"/>
      <c r="F3" s="139"/>
      <c r="G3" s="139"/>
      <c r="H3" s="139"/>
      <c r="I3" s="139"/>
      <c r="J3" s="139"/>
      <c r="K3" s="139"/>
      <c r="L3" s="139"/>
      <c r="M3" s="139"/>
      <c r="N3" s="139"/>
    </row>
    <row r="4" spans="1:14" ht="12" customHeight="1">
      <c r="A4" s="138"/>
      <c r="B4" s="138"/>
      <c r="C4" s="138"/>
      <c r="D4" s="138"/>
      <c r="E4" s="138"/>
      <c r="F4" s="138"/>
      <c r="G4" s="138"/>
      <c r="H4" s="138"/>
      <c r="I4" s="138"/>
      <c r="J4" s="138"/>
      <c r="K4" s="138"/>
      <c r="L4" s="138"/>
      <c r="M4" s="140"/>
      <c r="N4" s="140"/>
    </row>
    <row r="5" spans="1:14" s="13" customFormat="1" ht="18" customHeight="1">
      <c r="A5" s="135" t="s">
        <v>0</v>
      </c>
      <c r="B5" s="135" t="s">
        <v>40</v>
      </c>
      <c r="C5" s="135" t="s">
        <v>37</v>
      </c>
      <c r="D5" s="135" t="s">
        <v>12</v>
      </c>
      <c r="E5" s="135" t="s">
        <v>43</v>
      </c>
      <c r="F5" s="135"/>
      <c r="G5" s="135"/>
      <c r="H5" s="135"/>
      <c r="I5" s="135"/>
      <c r="J5" s="135"/>
      <c r="K5" s="135"/>
      <c r="L5" s="135"/>
      <c r="M5" s="135"/>
      <c r="N5" s="135"/>
    </row>
    <row r="6" spans="1:14" s="13" customFormat="1" ht="18" customHeight="1">
      <c r="A6" s="135"/>
      <c r="B6" s="135"/>
      <c r="C6" s="135"/>
      <c r="D6" s="135"/>
      <c r="E6" s="135" t="s">
        <v>42</v>
      </c>
      <c r="F6" s="135" t="s">
        <v>11</v>
      </c>
      <c r="G6" s="136" t="s">
        <v>13</v>
      </c>
      <c r="H6" s="135" t="s">
        <v>2</v>
      </c>
      <c r="I6" s="135" t="s">
        <v>3</v>
      </c>
      <c r="J6" s="135" t="s">
        <v>22</v>
      </c>
      <c r="K6" s="135" t="s">
        <v>23</v>
      </c>
      <c r="L6" s="135" t="s">
        <v>21</v>
      </c>
      <c r="M6" s="135" t="s">
        <v>14</v>
      </c>
      <c r="N6" s="135" t="s">
        <v>20</v>
      </c>
    </row>
    <row r="7" spans="1:14" s="13" customFormat="1" ht="18" customHeight="1">
      <c r="A7" s="135"/>
      <c r="B7" s="135"/>
      <c r="C7" s="135"/>
      <c r="D7" s="135"/>
      <c r="E7" s="135"/>
      <c r="F7" s="135"/>
      <c r="G7" s="136"/>
      <c r="H7" s="135"/>
      <c r="I7" s="135"/>
      <c r="J7" s="135"/>
      <c r="K7" s="135"/>
      <c r="L7" s="135"/>
      <c r="M7" s="135"/>
      <c r="N7" s="135"/>
    </row>
    <row r="8" spans="1:14" s="14" customFormat="1" ht="18.75" customHeight="1">
      <c r="A8" s="1" t="s">
        <v>4</v>
      </c>
      <c r="B8" s="2" t="s">
        <v>43</v>
      </c>
      <c r="C8" s="1"/>
      <c r="D8" s="4"/>
      <c r="E8" s="4"/>
      <c r="F8" s="4"/>
      <c r="G8" s="83"/>
      <c r="H8" s="4"/>
      <c r="I8" s="4"/>
      <c r="J8" s="4"/>
      <c r="K8" s="4"/>
      <c r="L8" s="4"/>
      <c r="M8" s="4"/>
      <c r="N8" s="8"/>
    </row>
    <row r="9" spans="1:14" s="13" customFormat="1" ht="18.75" customHeight="1">
      <c r="A9" s="1">
        <v>1</v>
      </c>
      <c r="B9" s="2" t="s">
        <v>44</v>
      </c>
      <c r="C9" s="1" t="s">
        <v>45</v>
      </c>
      <c r="D9" s="4">
        <f>D10+D14+D17</f>
        <v>372.46</v>
      </c>
      <c r="E9" s="4">
        <f aca="true" t="shared" si="0" ref="E9:N9">E10+E14+E17</f>
        <v>4.67</v>
      </c>
      <c r="F9" s="4">
        <f t="shared" si="0"/>
        <v>49.75</v>
      </c>
      <c r="G9" s="95">
        <f t="shared" si="0"/>
        <v>218.7</v>
      </c>
      <c r="H9" s="4">
        <f t="shared" si="0"/>
        <v>33.260000000000005</v>
      </c>
      <c r="I9" s="4">
        <f t="shared" si="0"/>
        <v>0</v>
      </c>
      <c r="J9" s="23">
        <f t="shared" si="0"/>
        <v>25.1</v>
      </c>
      <c r="K9" s="4">
        <f t="shared" si="0"/>
        <v>6.08</v>
      </c>
      <c r="L9" s="4">
        <f t="shared" si="0"/>
        <v>18.89</v>
      </c>
      <c r="M9" s="4">
        <f t="shared" si="0"/>
        <v>16.009999999999998</v>
      </c>
      <c r="N9" s="4">
        <f t="shared" si="0"/>
        <v>0</v>
      </c>
    </row>
    <row r="10" spans="1:14" s="14" customFormat="1" ht="18.75" customHeight="1">
      <c r="A10" s="1" t="s">
        <v>27</v>
      </c>
      <c r="B10" s="2" t="s">
        <v>19</v>
      </c>
      <c r="C10" s="1" t="s">
        <v>45</v>
      </c>
      <c r="D10" s="4">
        <f>SUM(E10:N10)</f>
        <v>63.94</v>
      </c>
      <c r="E10" s="4">
        <f>E11+E12+E13</f>
        <v>0</v>
      </c>
      <c r="F10" s="4">
        <f aca="true" t="shared" si="1" ref="F10:N10">F11+F12+F13</f>
        <v>8.06</v>
      </c>
      <c r="G10" s="95">
        <f t="shared" si="1"/>
        <v>16.8</v>
      </c>
      <c r="H10" s="4">
        <f t="shared" si="1"/>
        <v>21.67</v>
      </c>
      <c r="I10" s="4">
        <f t="shared" si="1"/>
        <v>0</v>
      </c>
      <c r="J10" s="23">
        <f t="shared" si="1"/>
        <v>0</v>
      </c>
      <c r="K10" s="4">
        <f t="shared" si="1"/>
        <v>0</v>
      </c>
      <c r="L10" s="23">
        <f t="shared" si="1"/>
        <v>9</v>
      </c>
      <c r="M10" s="4">
        <f t="shared" si="1"/>
        <v>8.41</v>
      </c>
      <c r="N10" s="4">
        <f t="shared" si="1"/>
        <v>0</v>
      </c>
    </row>
    <row r="11" spans="1:14" s="13" customFormat="1" ht="18.75" customHeight="1">
      <c r="A11" s="6" t="s">
        <v>6</v>
      </c>
      <c r="B11" s="5" t="s">
        <v>8</v>
      </c>
      <c r="C11" s="22" t="s">
        <v>45</v>
      </c>
      <c r="D11" s="3">
        <f>SUM(E11:N11)</f>
        <v>60.03</v>
      </c>
      <c r="E11" s="3"/>
      <c r="F11" s="3">
        <v>8.06</v>
      </c>
      <c r="G11" s="96">
        <v>16.8</v>
      </c>
      <c r="H11" s="3">
        <v>19.37</v>
      </c>
      <c r="I11" s="3"/>
      <c r="J11" s="26"/>
      <c r="K11" s="3"/>
      <c r="L11" s="26">
        <v>9</v>
      </c>
      <c r="M11" s="26">
        <v>6.8</v>
      </c>
      <c r="N11" s="9"/>
    </row>
    <row r="12" spans="1:14" s="13" customFormat="1" ht="18.75" customHeight="1">
      <c r="A12" s="6" t="s">
        <v>6</v>
      </c>
      <c r="B12" s="5" t="s">
        <v>30</v>
      </c>
      <c r="C12" s="22" t="s">
        <v>45</v>
      </c>
      <c r="D12" s="26">
        <f aca="true" t="shared" si="2" ref="D12:D18">SUM(E12:N12)</f>
        <v>2.3</v>
      </c>
      <c r="E12" s="3"/>
      <c r="F12" s="3"/>
      <c r="G12" s="84"/>
      <c r="H12" s="26">
        <v>2.3</v>
      </c>
      <c r="I12" s="3"/>
      <c r="J12" s="26"/>
      <c r="K12" s="3"/>
      <c r="L12" s="26"/>
      <c r="M12" s="3"/>
      <c r="N12" s="9"/>
    </row>
    <row r="13" spans="1:14" s="13" customFormat="1" ht="18.75" customHeight="1">
      <c r="A13" s="6" t="s">
        <v>6</v>
      </c>
      <c r="B13" s="5" t="s">
        <v>33</v>
      </c>
      <c r="C13" s="22" t="s">
        <v>45</v>
      </c>
      <c r="D13" s="3">
        <f t="shared" si="2"/>
        <v>1.61</v>
      </c>
      <c r="E13" s="3"/>
      <c r="F13" s="3"/>
      <c r="G13" s="84"/>
      <c r="H13" s="3"/>
      <c r="I13" s="3"/>
      <c r="J13" s="26"/>
      <c r="K13" s="3"/>
      <c r="L13" s="3"/>
      <c r="M13" s="3">
        <v>1.61</v>
      </c>
      <c r="N13" s="9"/>
    </row>
    <row r="14" spans="1:14" s="14" customFormat="1" ht="18.75" customHeight="1">
      <c r="A14" s="1" t="s">
        <v>29</v>
      </c>
      <c r="B14" s="2" t="s">
        <v>28</v>
      </c>
      <c r="C14" s="1" t="s">
        <v>45</v>
      </c>
      <c r="D14" s="4">
        <f>SUM(E14:N14)</f>
        <v>241.72</v>
      </c>
      <c r="E14" s="4">
        <f>E15+E16</f>
        <v>4.67</v>
      </c>
      <c r="F14" s="4">
        <f aca="true" t="shared" si="3" ref="F14:N14">F15+F16</f>
        <v>41.69</v>
      </c>
      <c r="G14" s="95">
        <f t="shared" si="3"/>
        <v>135.1</v>
      </c>
      <c r="H14" s="4">
        <f t="shared" si="3"/>
        <v>11.590000000000002</v>
      </c>
      <c r="I14" s="4">
        <f t="shared" si="3"/>
        <v>0</v>
      </c>
      <c r="J14" s="23">
        <f t="shared" si="3"/>
        <v>25.1</v>
      </c>
      <c r="K14" s="4">
        <f t="shared" si="3"/>
        <v>6.08</v>
      </c>
      <c r="L14" s="4">
        <f t="shared" si="3"/>
        <v>9.89</v>
      </c>
      <c r="M14" s="23">
        <f t="shared" si="3"/>
        <v>7.6</v>
      </c>
      <c r="N14" s="4">
        <f t="shared" si="3"/>
        <v>0</v>
      </c>
    </row>
    <row r="15" spans="1:14" s="13" customFormat="1" ht="18.75" customHeight="1">
      <c r="A15" s="6" t="s">
        <v>6</v>
      </c>
      <c r="B15" s="5" t="s">
        <v>8</v>
      </c>
      <c r="C15" s="22" t="s">
        <v>45</v>
      </c>
      <c r="D15" s="3">
        <f t="shared" si="2"/>
        <v>222.71</v>
      </c>
      <c r="E15" s="3">
        <v>4.67</v>
      </c>
      <c r="F15" s="3">
        <f>24.25-1.57</f>
        <v>22.68</v>
      </c>
      <c r="G15" s="96">
        <v>135.1</v>
      </c>
      <c r="H15" s="3">
        <f>8.59+1.23+1.22+0.55</f>
        <v>11.590000000000002</v>
      </c>
      <c r="I15" s="3"/>
      <c r="J15" s="26">
        <v>25.1</v>
      </c>
      <c r="K15" s="3">
        <v>6.08</v>
      </c>
      <c r="L15" s="3">
        <v>9.89</v>
      </c>
      <c r="M15" s="26">
        <v>7.6</v>
      </c>
      <c r="N15" s="9"/>
    </row>
    <row r="16" spans="1:14" s="13" customFormat="1" ht="18.75" customHeight="1">
      <c r="A16" s="6" t="s">
        <v>6</v>
      </c>
      <c r="B16" s="5" t="s">
        <v>30</v>
      </c>
      <c r="C16" s="22" t="s">
        <v>45</v>
      </c>
      <c r="D16" s="3">
        <f t="shared" si="2"/>
        <v>19.01</v>
      </c>
      <c r="E16" s="3"/>
      <c r="F16" s="3">
        <v>19.01</v>
      </c>
      <c r="G16" s="84"/>
      <c r="H16" s="3"/>
      <c r="I16" s="3"/>
      <c r="J16" s="3"/>
      <c r="K16" s="3"/>
      <c r="L16" s="3"/>
      <c r="M16" s="3"/>
      <c r="N16" s="9"/>
    </row>
    <row r="17" spans="1:14" s="14" customFormat="1" ht="18.75" customHeight="1">
      <c r="A17" s="1" t="s">
        <v>31</v>
      </c>
      <c r="B17" s="2" t="s">
        <v>32</v>
      </c>
      <c r="C17" s="1" t="s">
        <v>45</v>
      </c>
      <c r="D17" s="23">
        <f>D18</f>
        <v>66.8</v>
      </c>
      <c r="E17" s="4">
        <f aca="true" t="shared" si="4" ref="E17:N17">E18</f>
        <v>0</v>
      </c>
      <c r="F17" s="4">
        <f t="shared" si="4"/>
        <v>0</v>
      </c>
      <c r="G17" s="95">
        <f t="shared" si="4"/>
        <v>66.8</v>
      </c>
      <c r="H17" s="4">
        <f t="shared" si="4"/>
        <v>0</v>
      </c>
      <c r="I17" s="4">
        <f t="shared" si="4"/>
        <v>0</v>
      </c>
      <c r="J17" s="4">
        <f t="shared" si="4"/>
        <v>0</v>
      </c>
      <c r="K17" s="4">
        <f t="shared" si="4"/>
        <v>0</v>
      </c>
      <c r="L17" s="4">
        <f t="shared" si="4"/>
        <v>0</v>
      </c>
      <c r="M17" s="4">
        <f t="shared" si="4"/>
        <v>0</v>
      </c>
      <c r="N17" s="4">
        <f t="shared" si="4"/>
        <v>0</v>
      </c>
    </row>
    <row r="18" spans="1:14" s="13" customFormat="1" ht="18.75" customHeight="1">
      <c r="A18" s="6" t="s">
        <v>6</v>
      </c>
      <c r="B18" s="5" t="s">
        <v>8</v>
      </c>
      <c r="C18" s="22" t="s">
        <v>45</v>
      </c>
      <c r="D18" s="26">
        <f t="shared" si="2"/>
        <v>66.8</v>
      </c>
      <c r="E18" s="3"/>
      <c r="F18" s="3"/>
      <c r="G18" s="96">
        <v>66.8</v>
      </c>
      <c r="H18" s="3"/>
      <c r="I18" s="3"/>
      <c r="J18" s="3"/>
      <c r="K18" s="3"/>
      <c r="L18" s="3"/>
      <c r="M18" s="3"/>
      <c r="N18" s="9"/>
    </row>
    <row r="19" spans="1:14" s="14" customFormat="1" ht="18.75" customHeight="1">
      <c r="A19" s="1">
        <v>2</v>
      </c>
      <c r="B19" s="2" t="s">
        <v>34</v>
      </c>
      <c r="C19" s="1" t="s">
        <v>45</v>
      </c>
      <c r="D19" s="4">
        <f>D20+D23</f>
        <v>114.78</v>
      </c>
      <c r="E19" s="4">
        <f aca="true" t="shared" si="5" ref="E19:N19">E20+E23</f>
        <v>0</v>
      </c>
      <c r="F19" s="4">
        <f t="shared" si="5"/>
        <v>36.68</v>
      </c>
      <c r="G19" s="95">
        <f t="shared" si="5"/>
        <v>33</v>
      </c>
      <c r="H19" s="4">
        <f t="shared" si="5"/>
        <v>0</v>
      </c>
      <c r="I19" s="23">
        <f t="shared" si="5"/>
        <v>20</v>
      </c>
      <c r="J19" s="11">
        <f t="shared" si="5"/>
        <v>5.1</v>
      </c>
      <c r="K19" s="23">
        <f t="shared" si="5"/>
        <v>0</v>
      </c>
      <c r="L19" s="4">
        <f t="shared" si="5"/>
        <v>0</v>
      </c>
      <c r="M19" s="23">
        <f t="shared" si="5"/>
        <v>20</v>
      </c>
      <c r="N19" s="4">
        <f t="shared" si="5"/>
        <v>0</v>
      </c>
    </row>
    <row r="20" spans="1:14" s="13" customFormat="1" ht="18.75" customHeight="1">
      <c r="A20" s="16" t="s">
        <v>35</v>
      </c>
      <c r="B20" s="2" t="s">
        <v>17</v>
      </c>
      <c r="C20" s="1" t="s">
        <v>45</v>
      </c>
      <c r="D20" s="36">
        <f aca="true" t="shared" si="6" ref="D20:N20">D21+D22</f>
        <v>98.09</v>
      </c>
      <c r="E20" s="4">
        <f t="shared" si="6"/>
        <v>0</v>
      </c>
      <c r="F20" s="36">
        <f t="shared" si="6"/>
        <v>25.09</v>
      </c>
      <c r="G20" s="97">
        <f t="shared" si="6"/>
        <v>33</v>
      </c>
      <c r="H20" s="11">
        <f t="shared" si="6"/>
        <v>0</v>
      </c>
      <c r="I20" s="11">
        <f t="shared" si="6"/>
        <v>20</v>
      </c>
      <c r="J20" s="11">
        <f>J21+J22</f>
        <v>0</v>
      </c>
      <c r="K20" s="23">
        <f t="shared" si="6"/>
        <v>0</v>
      </c>
      <c r="L20" s="4">
        <f t="shared" si="6"/>
        <v>0</v>
      </c>
      <c r="M20" s="11">
        <f t="shared" si="6"/>
        <v>20</v>
      </c>
      <c r="N20" s="4">
        <f t="shared" si="6"/>
        <v>0</v>
      </c>
    </row>
    <row r="21" spans="1:14" s="13" customFormat="1" ht="18.75" customHeight="1">
      <c r="A21" s="7" t="s">
        <v>6</v>
      </c>
      <c r="B21" s="5" t="s">
        <v>18</v>
      </c>
      <c r="C21" s="22" t="s">
        <v>45</v>
      </c>
      <c r="D21" s="34">
        <f>SUM(E21:N21)</f>
        <v>98.09</v>
      </c>
      <c r="E21" s="27"/>
      <c r="F21" s="34">
        <v>25.09</v>
      </c>
      <c r="G21" s="85">
        <v>33</v>
      </c>
      <c r="H21" s="27"/>
      <c r="I21" s="27">
        <v>20</v>
      </c>
      <c r="J21" s="27"/>
      <c r="K21" s="26"/>
      <c r="L21" s="3"/>
      <c r="M21" s="27">
        <v>20</v>
      </c>
      <c r="N21" s="3"/>
    </row>
    <row r="22" spans="1:14" s="13" customFormat="1" ht="18.75" customHeight="1">
      <c r="A22" s="7" t="s">
        <v>6</v>
      </c>
      <c r="B22" s="5" t="s">
        <v>25</v>
      </c>
      <c r="C22" s="22" t="s">
        <v>45</v>
      </c>
      <c r="D22" s="3">
        <f>SUM(E22:N22)</f>
        <v>0</v>
      </c>
      <c r="E22" s="3"/>
      <c r="F22" s="3"/>
      <c r="G22" s="84"/>
      <c r="H22" s="3"/>
      <c r="I22" s="3"/>
      <c r="J22" s="3"/>
      <c r="K22" s="26"/>
      <c r="L22" s="3"/>
      <c r="M22" s="3"/>
      <c r="N22" s="3"/>
    </row>
    <row r="23" spans="1:14" s="13" customFormat="1" ht="18.75" customHeight="1">
      <c r="A23" s="1" t="s">
        <v>36</v>
      </c>
      <c r="B23" s="2" t="s">
        <v>26</v>
      </c>
      <c r="C23" s="1" t="s">
        <v>45</v>
      </c>
      <c r="D23" s="4">
        <f>D24+D25</f>
        <v>16.689999999999998</v>
      </c>
      <c r="E23" s="83">
        <f aca="true" t="shared" si="7" ref="E23:N23">E24+E25</f>
        <v>0</v>
      </c>
      <c r="F23" s="83">
        <f t="shared" si="7"/>
        <v>11.59</v>
      </c>
      <c r="G23" s="83">
        <f t="shared" si="7"/>
        <v>0</v>
      </c>
      <c r="H23" s="4">
        <f t="shared" si="7"/>
        <v>0</v>
      </c>
      <c r="I23" s="4">
        <f t="shared" si="7"/>
        <v>0</v>
      </c>
      <c r="J23" s="23">
        <f t="shared" si="7"/>
        <v>5.1</v>
      </c>
      <c r="K23" s="23">
        <f t="shared" si="7"/>
        <v>0</v>
      </c>
      <c r="L23" s="23">
        <f t="shared" si="7"/>
        <v>0</v>
      </c>
      <c r="M23" s="4">
        <f t="shared" si="7"/>
        <v>0</v>
      </c>
      <c r="N23" s="4">
        <f t="shared" si="7"/>
        <v>0</v>
      </c>
    </row>
    <row r="24" spans="1:14" s="15" customFormat="1" ht="18.75" customHeight="1">
      <c r="A24" s="7" t="s">
        <v>6</v>
      </c>
      <c r="B24" s="10" t="s">
        <v>8</v>
      </c>
      <c r="C24" s="22" t="s">
        <v>45</v>
      </c>
      <c r="D24" s="3">
        <f>SUM(E24:N24)</f>
        <v>16.689999999999998</v>
      </c>
      <c r="E24" s="84"/>
      <c r="F24" s="84">
        <f>9.68+1.91</f>
        <v>11.59</v>
      </c>
      <c r="G24" s="84"/>
      <c r="H24" s="3"/>
      <c r="I24" s="3"/>
      <c r="J24" s="26">
        <v>5.1</v>
      </c>
      <c r="K24" s="26"/>
      <c r="L24" s="3"/>
      <c r="M24" s="3"/>
      <c r="N24" s="3"/>
    </row>
    <row r="25" spans="1:14" s="15" customFormat="1" ht="18.75" customHeight="1">
      <c r="A25" s="7" t="s">
        <v>6</v>
      </c>
      <c r="B25" s="10" t="s">
        <v>9</v>
      </c>
      <c r="C25" s="22" t="s">
        <v>45</v>
      </c>
      <c r="D25" s="3">
        <f>SUM(E25:N25)</f>
        <v>0</v>
      </c>
      <c r="E25" s="3"/>
      <c r="F25" s="3"/>
      <c r="G25" s="84"/>
      <c r="H25" s="3"/>
      <c r="I25" s="3"/>
      <c r="J25" s="3"/>
      <c r="K25" s="86"/>
      <c r="L25" s="84"/>
      <c r="M25" s="3"/>
      <c r="N25" s="3"/>
    </row>
    <row r="26" spans="1:14" s="14" customFormat="1" ht="18.75" customHeight="1">
      <c r="A26" s="1">
        <v>3</v>
      </c>
      <c r="B26" s="2" t="s">
        <v>100</v>
      </c>
      <c r="C26" s="1" t="s">
        <v>45</v>
      </c>
      <c r="D26" s="4">
        <f>D27</f>
        <v>31.18</v>
      </c>
      <c r="E26" s="4">
        <f aca="true" t="shared" si="8" ref="E26:N26">E27</f>
        <v>0</v>
      </c>
      <c r="F26" s="4">
        <f t="shared" si="8"/>
        <v>0</v>
      </c>
      <c r="G26" s="83">
        <f t="shared" si="8"/>
        <v>0</v>
      </c>
      <c r="H26" s="4">
        <f t="shared" si="8"/>
        <v>0</v>
      </c>
      <c r="I26" s="4">
        <f t="shared" si="8"/>
        <v>0</v>
      </c>
      <c r="J26" s="4">
        <f t="shared" si="8"/>
        <v>25.1</v>
      </c>
      <c r="K26" s="4">
        <f t="shared" si="8"/>
        <v>6.08</v>
      </c>
      <c r="L26" s="4">
        <f t="shared" si="8"/>
        <v>0</v>
      </c>
      <c r="M26" s="4">
        <f t="shared" si="8"/>
        <v>0</v>
      </c>
      <c r="N26" s="4">
        <f t="shared" si="8"/>
        <v>0</v>
      </c>
    </row>
    <row r="27" spans="1:14" s="15" customFormat="1" ht="18.75" customHeight="1">
      <c r="A27" s="7" t="s">
        <v>6</v>
      </c>
      <c r="B27" s="10" t="s">
        <v>105</v>
      </c>
      <c r="C27" s="22" t="s">
        <v>45</v>
      </c>
      <c r="D27" s="3">
        <f>SUM(E27:N27)</f>
        <v>31.18</v>
      </c>
      <c r="E27" s="3"/>
      <c r="F27" s="3"/>
      <c r="G27" s="84"/>
      <c r="H27" s="3"/>
      <c r="I27" s="3"/>
      <c r="J27" s="26">
        <v>25.1</v>
      </c>
      <c r="K27" s="34">
        <v>6.08</v>
      </c>
      <c r="L27" s="3"/>
      <c r="M27" s="3"/>
      <c r="N27" s="3"/>
    </row>
    <row r="28" spans="1:14" s="14" customFormat="1" ht="18.75" customHeight="1">
      <c r="A28" s="1">
        <v>4</v>
      </c>
      <c r="B28" s="2" t="s">
        <v>50</v>
      </c>
      <c r="C28" s="1" t="s">
        <v>41</v>
      </c>
      <c r="D28" s="11">
        <f>SUM(D29:D31)</f>
        <v>1</v>
      </c>
      <c r="E28" s="11">
        <f>E29+E30+E31</f>
        <v>0</v>
      </c>
      <c r="F28" s="11">
        <f aca="true" t="shared" si="9" ref="F28:N28">F29+F30+F31</f>
        <v>0</v>
      </c>
      <c r="G28" s="97">
        <f t="shared" si="9"/>
        <v>0</v>
      </c>
      <c r="H28" s="11">
        <f t="shared" si="9"/>
        <v>0</v>
      </c>
      <c r="I28" s="11">
        <f t="shared" si="9"/>
        <v>0</v>
      </c>
      <c r="J28" s="11">
        <f t="shared" si="9"/>
        <v>0</v>
      </c>
      <c r="K28" s="11">
        <f t="shared" si="9"/>
        <v>1</v>
      </c>
      <c r="L28" s="11">
        <f t="shared" si="9"/>
        <v>0</v>
      </c>
      <c r="M28" s="11">
        <f t="shared" si="9"/>
        <v>0</v>
      </c>
      <c r="N28" s="11">
        <f t="shared" si="9"/>
        <v>0</v>
      </c>
    </row>
    <row r="29" spans="1:14" s="13" customFormat="1" ht="18.75" customHeight="1">
      <c r="A29" s="6" t="s">
        <v>6</v>
      </c>
      <c r="B29" s="5" t="s">
        <v>56</v>
      </c>
      <c r="C29" s="22" t="s">
        <v>41</v>
      </c>
      <c r="D29" s="27">
        <f>SUM(E29:N29)</f>
        <v>1</v>
      </c>
      <c r="E29" s="3"/>
      <c r="F29" s="3"/>
      <c r="G29" s="84"/>
      <c r="H29" s="3"/>
      <c r="I29" s="3"/>
      <c r="J29" s="3"/>
      <c r="K29" s="19">
        <v>1</v>
      </c>
      <c r="L29" s="3"/>
      <c r="M29" s="3"/>
      <c r="N29" s="31"/>
    </row>
    <row r="30" spans="1:14" ht="18.75" customHeight="1">
      <c r="A30" s="7" t="s">
        <v>6</v>
      </c>
      <c r="B30" s="10" t="s">
        <v>51</v>
      </c>
      <c r="C30" s="3" t="s">
        <v>41</v>
      </c>
      <c r="D30" s="27">
        <f>SUM(E30:N30)</f>
        <v>0</v>
      </c>
      <c r="E30" s="19"/>
      <c r="F30" s="19"/>
      <c r="G30" s="98"/>
      <c r="H30" s="19"/>
      <c r="I30" s="19"/>
      <c r="J30" s="19"/>
      <c r="K30" s="19"/>
      <c r="L30" s="19"/>
      <c r="M30" s="19"/>
      <c r="N30" s="19"/>
    </row>
    <row r="31" spans="1:14" ht="18.75" customHeight="1">
      <c r="A31" s="7" t="s">
        <v>6</v>
      </c>
      <c r="B31" s="10" t="s">
        <v>54</v>
      </c>
      <c r="C31" s="3" t="s">
        <v>41</v>
      </c>
      <c r="D31" s="27">
        <f>SUM(E31:N31)</f>
        <v>0</v>
      </c>
      <c r="E31" s="19"/>
      <c r="F31" s="19"/>
      <c r="G31" s="98"/>
      <c r="H31" s="19"/>
      <c r="I31" s="19"/>
      <c r="J31" s="19"/>
      <c r="K31" s="19"/>
      <c r="L31" s="19"/>
      <c r="M31" s="19"/>
      <c r="N31" s="19"/>
    </row>
    <row r="32" spans="1:14" s="14" customFormat="1" ht="18.75" customHeight="1">
      <c r="A32" s="1" t="s">
        <v>10</v>
      </c>
      <c r="B32" s="2" t="s">
        <v>78</v>
      </c>
      <c r="C32" s="1" t="s">
        <v>38</v>
      </c>
      <c r="D32" s="11">
        <f aca="true" t="shared" si="10" ref="D32:N32">D33+D34+D35</f>
        <v>0</v>
      </c>
      <c r="E32" s="11">
        <f t="shared" si="10"/>
        <v>0</v>
      </c>
      <c r="F32" s="11">
        <f t="shared" si="10"/>
        <v>0</v>
      </c>
      <c r="G32" s="97">
        <f t="shared" si="10"/>
        <v>0</v>
      </c>
      <c r="H32" s="11">
        <f t="shared" si="10"/>
        <v>0</v>
      </c>
      <c r="I32" s="11">
        <f t="shared" si="10"/>
        <v>0</v>
      </c>
      <c r="J32" s="11">
        <f t="shared" si="10"/>
        <v>0</v>
      </c>
      <c r="K32" s="11">
        <f t="shared" si="10"/>
        <v>0</v>
      </c>
      <c r="L32" s="11">
        <f t="shared" si="10"/>
        <v>0</v>
      </c>
      <c r="M32" s="11">
        <f t="shared" si="10"/>
        <v>0</v>
      </c>
      <c r="N32" s="11">
        <f t="shared" si="10"/>
        <v>0</v>
      </c>
    </row>
    <row r="33" spans="1:14" s="13" customFormat="1" ht="18.75" customHeight="1">
      <c r="A33" s="6" t="s">
        <v>6</v>
      </c>
      <c r="B33" s="5" t="s">
        <v>100</v>
      </c>
      <c r="C33" s="22" t="s">
        <v>38</v>
      </c>
      <c r="D33" s="11"/>
      <c r="E33" s="27"/>
      <c r="F33" s="27"/>
      <c r="G33" s="85"/>
      <c r="H33" s="27"/>
      <c r="I33" s="27"/>
      <c r="J33" s="27"/>
      <c r="K33" s="27"/>
      <c r="L33" s="27"/>
      <c r="M33" s="27"/>
      <c r="N33" s="32"/>
    </row>
    <row r="34" spans="1:14" s="13" customFormat="1" ht="39.75" customHeight="1">
      <c r="A34" s="6" t="s">
        <v>6</v>
      </c>
      <c r="B34" s="5" t="s">
        <v>106</v>
      </c>
      <c r="C34" s="22" t="s">
        <v>38</v>
      </c>
      <c r="D34" s="11"/>
      <c r="E34" s="27"/>
      <c r="F34" s="27"/>
      <c r="G34" s="85"/>
      <c r="H34" s="27"/>
      <c r="I34" s="27"/>
      <c r="J34" s="27"/>
      <c r="K34" s="27"/>
      <c r="L34" s="27"/>
      <c r="M34" s="27"/>
      <c r="N34" s="32"/>
    </row>
    <row r="35" spans="1:14" s="13" customFormat="1" ht="19.5" customHeight="1" hidden="1">
      <c r="A35" s="6"/>
      <c r="B35" s="5"/>
      <c r="C35" s="22"/>
      <c r="D35" s="11"/>
      <c r="E35" s="27"/>
      <c r="F35" s="27"/>
      <c r="G35" s="85"/>
      <c r="H35" s="27"/>
      <c r="I35" s="27"/>
      <c r="J35" s="27"/>
      <c r="K35" s="27"/>
      <c r="L35" s="27"/>
      <c r="M35" s="27"/>
      <c r="N35" s="32"/>
    </row>
  </sheetData>
  <sheetProtection/>
  <mergeCells count="20">
    <mergeCell ref="C5:C7"/>
    <mergeCell ref="M6:M7"/>
    <mergeCell ref="L6:L7"/>
    <mergeCell ref="K6:K7"/>
    <mergeCell ref="J6:J7"/>
    <mergeCell ref="A1:B1"/>
    <mergeCell ref="A4:L4"/>
    <mergeCell ref="A2:N2"/>
    <mergeCell ref="A3:N3"/>
    <mergeCell ref="M4:N4"/>
    <mergeCell ref="A5:A7"/>
    <mergeCell ref="F6:F7"/>
    <mergeCell ref="D5:D7"/>
    <mergeCell ref="G6:G7"/>
    <mergeCell ref="E6:E7"/>
    <mergeCell ref="E5:N5"/>
    <mergeCell ref="I6:I7"/>
    <mergeCell ref="B5:B7"/>
    <mergeCell ref="N6:N7"/>
    <mergeCell ref="H6:H7"/>
  </mergeCells>
  <printOptions/>
  <pageMargins left="0.5" right="0.25" top="0.25" bottom="0.25" header="0" footer="0"/>
  <pageSetup horizontalDpi="600" verticalDpi="600" orientation="landscape" paperSize="9" scale="85" r:id="rId3"/>
  <ignoredErrors>
    <ignoredError sqref="E17:N17" formula="1"/>
  </ignoredErrors>
  <legacyDrawing r:id="rId2"/>
</worksheet>
</file>

<file path=xl/worksheets/sheet10.xml><?xml version="1.0" encoding="utf-8"?>
<worksheet xmlns="http://schemas.openxmlformats.org/spreadsheetml/2006/main" xmlns:r="http://schemas.openxmlformats.org/officeDocument/2006/relationships">
  <sheetPr>
    <tabColor rgb="FF00B050"/>
  </sheetPr>
  <dimension ref="A1:M13"/>
  <sheetViews>
    <sheetView tabSelected="1" view="pageBreakPreview" zoomScale="124" zoomScaleSheetLayoutView="124" zoomScalePageLayoutView="0" workbookViewId="0" topLeftCell="A1">
      <selection activeCell="G7" sqref="G7"/>
    </sheetView>
  </sheetViews>
  <sheetFormatPr defaultColWidth="9.140625" defaultRowHeight="12.75"/>
  <cols>
    <col min="1" max="1" width="5.7109375" style="107" customWidth="1"/>
    <col min="2" max="2" width="32.7109375" style="108" customWidth="1"/>
    <col min="3" max="3" width="15.7109375" style="107" customWidth="1"/>
    <col min="4" max="5" width="15.7109375" style="111" customWidth="1"/>
    <col min="6" max="6" width="17.28125" style="111" customWidth="1"/>
    <col min="7" max="8" width="15.7109375" style="111" customWidth="1"/>
    <col min="9" max="10" width="15.7109375" style="107" customWidth="1"/>
    <col min="11" max="11" width="15.7109375" style="111" customWidth="1"/>
    <col min="12" max="12" width="9.140625" style="107" customWidth="1"/>
    <col min="13" max="13" width="10.00390625" style="107" customWidth="1"/>
    <col min="14" max="16384" width="9.140625" style="107" customWidth="1"/>
  </cols>
  <sheetData>
    <row r="1" spans="1:11" ht="21" customHeight="1">
      <c r="A1" s="175" t="s">
        <v>139</v>
      </c>
      <c r="B1" s="175"/>
      <c r="C1" s="175"/>
      <c r="D1" s="175"/>
      <c r="E1" s="175"/>
      <c r="F1" s="175"/>
      <c r="G1" s="175"/>
      <c r="H1" s="175"/>
      <c r="I1" s="175"/>
      <c r="J1" s="175"/>
      <c r="K1" s="175"/>
    </row>
    <row r="2" spans="1:11" ht="21" customHeight="1">
      <c r="A2" s="174" t="s">
        <v>138</v>
      </c>
      <c r="B2" s="174"/>
      <c r="C2" s="174"/>
      <c r="D2" s="174"/>
      <c r="E2" s="174"/>
      <c r="F2" s="174"/>
      <c r="G2" s="174"/>
      <c r="H2" s="174"/>
      <c r="I2" s="174"/>
      <c r="J2" s="174"/>
      <c r="K2" s="174"/>
    </row>
    <row r="3" spans="1:11" s="106" customFormat="1" ht="21.75" customHeight="1">
      <c r="A3" s="170" t="s">
        <v>135</v>
      </c>
      <c r="B3" s="170"/>
      <c r="C3" s="170"/>
      <c r="D3" s="170"/>
      <c r="E3" s="170"/>
      <c r="F3" s="170"/>
      <c r="G3" s="170"/>
      <c r="H3" s="170"/>
      <c r="I3" s="170"/>
      <c r="J3" s="170"/>
      <c r="K3" s="170"/>
    </row>
    <row r="4" spans="1:11" s="106" customFormat="1" ht="21.75" customHeight="1">
      <c r="A4" s="173" t="s">
        <v>137</v>
      </c>
      <c r="B4" s="173"/>
      <c r="C4" s="173"/>
      <c r="D4" s="173"/>
      <c r="E4" s="173"/>
      <c r="F4" s="173"/>
      <c r="G4" s="173"/>
      <c r="H4" s="173"/>
      <c r="I4" s="173"/>
      <c r="J4" s="173"/>
      <c r="K4" s="173"/>
    </row>
    <row r="5" spans="1:11" s="106" customFormat="1" ht="21.75" customHeight="1">
      <c r="A5" s="131"/>
      <c r="B5" s="131"/>
      <c r="C5" s="132"/>
      <c r="D5" s="132"/>
      <c r="E5" s="132"/>
      <c r="F5" s="132"/>
      <c r="G5" s="132"/>
      <c r="H5" s="132"/>
      <c r="I5" s="132"/>
      <c r="J5" s="172" t="s">
        <v>121</v>
      </c>
      <c r="K5" s="172"/>
    </row>
    <row r="6" spans="1:11" s="106" customFormat="1" ht="23.25" customHeight="1">
      <c r="A6" s="135" t="s">
        <v>0</v>
      </c>
      <c r="B6" s="135" t="s">
        <v>40</v>
      </c>
      <c r="C6" s="171" t="s">
        <v>120</v>
      </c>
      <c r="D6" s="171"/>
      <c r="E6" s="171"/>
      <c r="F6" s="171"/>
      <c r="G6" s="171"/>
      <c r="H6" s="171"/>
      <c r="I6" s="171"/>
      <c r="J6" s="171"/>
      <c r="K6" s="171"/>
    </row>
    <row r="7" spans="1:11" s="106" customFormat="1" ht="54" customHeight="1">
      <c r="A7" s="135"/>
      <c r="B7" s="135"/>
      <c r="C7" s="1" t="s">
        <v>58</v>
      </c>
      <c r="D7" s="1" t="s">
        <v>127</v>
      </c>
      <c r="E7" s="1" t="s">
        <v>128</v>
      </c>
      <c r="F7" s="1" t="s">
        <v>129</v>
      </c>
      <c r="G7" s="1" t="s">
        <v>130</v>
      </c>
      <c r="H7" s="1" t="s">
        <v>131</v>
      </c>
      <c r="I7" s="1" t="s">
        <v>132</v>
      </c>
      <c r="J7" s="1" t="s">
        <v>133</v>
      </c>
      <c r="K7" s="1" t="s">
        <v>134</v>
      </c>
    </row>
    <row r="8" spans="1:13" s="106" customFormat="1" ht="34.5" customHeight="1">
      <c r="A8" s="169" t="s">
        <v>136</v>
      </c>
      <c r="B8" s="169"/>
      <c r="C8" s="123">
        <f>SUM(C9:C11)</f>
        <v>10742.9928</v>
      </c>
      <c r="D8" s="123">
        <f>SUM(D9:D11)</f>
        <v>2726.9928</v>
      </c>
      <c r="E8" s="123">
        <f aca="true" t="shared" si="0" ref="E8:K8">SUM(E9:E11)</f>
        <v>4117</v>
      </c>
      <c r="F8" s="123">
        <f t="shared" si="0"/>
        <v>2711</v>
      </c>
      <c r="G8" s="123">
        <f t="shared" si="0"/>
        <v>450</v>
      </c>
      <c r="H8" s="123">
        <f t="shared" si="0"/>
        <v>303</v>
      </c>
      <c r="I8" s="123">
        <f t="shared" si="0"/>
        <v>117</v>
      </c>
      <c r="J8" s="123">
        <f t="shared" si="0"/>
        <v>75</v>
      </c>
      <c r="K8" s="123">
        <f t="shared" si="0"/>
        <v>243</v>
      </c>
      <c r="L8" s="116"/>
      <c r="M8" s="117"/>
    </row>
    <row r="9" spans="1:13" ht="39.75" customHeight="1">
      <c r="A9" s="67">
        <v>1</v>
      </c>
      <c r="B9" s="69" t="s">
        <v>126</v>
      </c>
      <c r="C9" s="50">
        <f>+SUM(D9:K9)</f>
        <v>3708</v>
      </c>
      <c r="D9" s="50">
        <v>570</v>
      </c>
      <c r="E9" s="50">
        <v>1946</v>
      </c>
      <c r="F9" s="50">
        <v>1019</v>
      </c>
      <c r="G9" s="50">
        <v>173</v>
      </c>
      <c r="H9" s="129">
        <v>0</v>
      </c>
      <c r="I9" s="129">
        <v>0</v>
      </c>
      <c r="J9" s="129">
        <v>0</v>
      </c>
      <c r="K9" s="129">
        <v>0</v>
      </c>
      <c r="L9" s="116"/>
      <c r="M9" s="115"/>
    </row>
    <row r="10" spans="1:13" s="105" customFormat="1" ht="34.5" customHeight="1">
      <c r="A10" s="124">
        <v>2</v>
      </c>
      <c r="B10" s="125" t="s">
        <v>124</v>
      </c>
      <c r="C10" s="50">
        <f>+SUM(D10:K10)</f>
        <v>5411.9928</v>
      </c>
      <c r="D10" s="126">
        <v>1222.9928</v>
      </c>
      <c r="E10" s="126">
        <v>2171</v>
      </c>
      <c r="F10" s="126">
        <v>1032</v>
      </c>
      <c r="G10" s="126">
        <v>277</v>
      </c>
      <c r="H10" s="126">
        <v>303</v>
      </c>
      <c r="I10" s="126">
        <v>88</v>
      </c>
      <c r="J10" s="126">
        <v>75</v>
      </c>
      <c r="K10" s="126">
        <v>243</v>
      </c>
      <c r="L10" s="127"/>
      <c r="M10" s="128"/>
    </row>
    <row r="11" spans="1:13" s="106" customFormat="1" ht="34.5" customHeight="1">
      <c r="A11" s="130">
        <v>3</v>
      </c>
      <c r="B11" s="69" t="s">
        <v>125</v>
      </c>
      <c r="C11" s="50">
        <f>+SUM(D11:K11)</f>
        <v>1623</v>
      </c>
      <c r="D11" s="50">
        <v>934</v>
      </c>
      <c r="E11" s="50">
        <v>0</v>
      </c>
      <c r="F11" s="50">
        <v>660</v>
      </c>
      <c r="G11" s="50">
        <v>0</v>
      </c>
      <c r="H11" s="50">
        <v>0</v>
      </c>
      <c r="I11" s="50">
        <v>29</v>
      </c>
      <c r="J11" s="50">
        <v>0</v>
      </c>
      <c r="K11" s="50">
        <v>0</v>
      </c>
      <c r="L11" s="116"/>
      <c r="M11" s="115"/>
    </row>
    <row r="13" spans="4:11" ht="12">
      <c r="D13" s="133"/>
      <c r="E13" s="133"/>
      <c r="F13" s="133"/>
      <c r="G13" s="133"/>
      <c r="H13" s="133"/>
      <c r="I13" s="134"/>
      <c r="J13" s="134"/>
      <c r="K13" s="133"/>
    </row>
  </sheetData>
  <sheetProtection/>
  <mergeCells count="9">
    <mergeCell ref="A2:K2"/>
    <mergeCell ref="A1:K1"/>
    <mergeCell ref="A8:B8"/>
    <mergeCell ref="A3:K3"/>
    <mergeCell ref="A6:A7"/>
    <mergeCell ref="B6:B7"/>
    <mergeCell ref="C6:K6"/>
    <mergeCell ref="J5:K5"/>
    <mergeCell ref="A4:K4"/>
  </mergeCells>
  <printOptions/>
  <pageMargins left="0.94" right="0.25" top="0.5" bottom="0.5" header="0" footer="0"/>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00B050"/>
  </sheetPr>
  <dimension ref="A1:O9"/>
  <sheetViews>
    <sheetView zoomScalePageLayoutView="0" workbookViewId="0" topLeftCell="A1">
      <selection activeCell="H13" sqref="H13"/>
    </sheetView>
  </sheetViews>
  <sheetFormatPr defaultColWidth="9.140625" defaultRowHeight="12.75"/>
  <cols>
    <col min="1" max="1" width="4.00390625" style="107" customWidth="1"/>
    <col min="2" max="2" width="26.7109375" style="108" customWidth="1"/>
    <col min="3" max="3" width="11.57421875" style="108" customWidth="1"/>
    <col min="4" max="4" width="11.57421875" style="107" customWidth="1"/>
    <col min="5" max="9" width="11.57421875" style="111" customWidth="1"/>
    <col min="10" max="11" width="11.57421875" style="107" customWidth="1"/>
    <col min="12" max="12" width="11.57421875" style="111" customWidth="1"/>
    <col min="13" max="13" width="11.8515625" style="109" customWidth="1"/>
    <col min="14" max="14" width="9.140625" style="107" customWidth="1"/>
    <col min="15" max="15" width="10.00390625" style="107" customWidth="1"/>
    <col min="16" max="16384" width="9.140625" style="107" customWidth="1"/>
  </cols>
  <sheetData>
    <row r="1" ht="20.25" customHeight="1">
      <c r="A1" s="118" t="s">
        <v>122</v>
      </c>
    </row>
    <row r="2" spans="1:13" s="106" customFormat="1" ht="24.75" customHeight="1">
      <c r="A2" s="179" t="s">
        <v>119</v>
      </c>
      <c r="B2" s="179"/>
      <c r="C2" s="179"/>
      <c r="D2" s="179"/>
      <c r="E2" s="179"/>
      <c r="F2" s="179"/>
      <c r="G2" s="179"/>
      <c r="H2" s="179"/>
      <c r="I2" s="179"/>
      <c r="J2" s="179"/>
      <c r="K2" s="179"/>
      <c r="L2" s="179"/>
      <c r="M2" s="179"/>
    </row>
    <row r="3" spans="1:13" s="106" customFormat="1" ht="17.25" customHeight="1">
      <c r="A3" s="178" t="s">
        <v>123</v>
      </c>
      <c r="B3" s="178"/>
      <c r="C3" s="178"/>
      <c r="D3" s="178"/>
      <c r="E3" s="178"/>
      <c r="F3" s="178"/>
      <c r="G3" s="178"/>
      <c r="H3" s="178"/>
      <c r="I3" s="178"/>
      <c r="J3" s="178"/>
      <c r="K3" s="178"/>
      <c r="L3" s="178"/>
      <c r="M3" s="178"/>
    </row>
    <row r="4" spans="1:13" s="106" customFormat="1" ht="15.75" customHeight="1">
      <c r="A4" s="113"/>
      <c r="B4" s="113"/>
      <c r="C4" s="113"/>
      <c r="D4" s="114"/>
      <c r="E4" s="114"/>
      <c r="F4" s="114"/>
      <c r="G4" s="114"/>
      <c r="H4" s="114"/>
      <c r="I4" s="114"/>
      <c r="J4" s="114"/>
      <c r="K4" s="114"/>
      <c r="L4" s="184" t="s">
        <v>121</v>
      </c>
      <c r="M4" s="184"/>
    </row>
    <row r="5" spans="1:13" s="106" customFormat="1" ht="21.75" customHeight="1">
      <c r="A5" s="180" t="s">
        <v>0</v>
      </c>
      <c r="B5" s="180" t="s">
        <v>40</v>
      </c>
      <c r="C5" s="180" t="s">
        <v>58</v>
      </c>
      <c r="D5" s="183" t="s">
        <v>120</v>
      </c>
      <c r="E5" s="183"/>
      <c r="F5" s="183"/>
      <c r="G5" s="183"/>
      <c r="H5" s="183"/>
      <c r="I5" s="183"/>
      <c r="J5" s="183"/>
      <c r="K5" s="183"/>
      <c r="L5" s="183"/>
      <c r="M5" s="181" t="s">
        <v>11</v>
      </c>
    </row>
    <row r="6" spans="1:13" s="106" customFormat="1" ht="42" customHeight="1">
      <c r="A6" s="180"/>
      <c r="B6" s="180"/>
      <c r="C6" s="180"/>
      <c r="D6" s="112" t="s">
        <v>58</v>
      </c>
      <c r="E6" s="112" t="s">
        <v>116</v>
      </c>
      <c r="F6" s="112" t="s">
        <v>117</v>
      </c>
      <c r="G6" s="112" t="s">
        <v>118</v>
      </c>
      <c r="H6" s="112" t="s">
        <v>2</v>
      </c>
      <c r="I6" s="112" t="s">
        <v>3</v>
      </c>
      <c r="J6" s="112" t="s">
        <v>22</v>
      </c>
      <c r="K6" s="112" t="s">
        <v>23</v>
      </c>
      <c r="L6" s="112" t="s">
        <v>21</v>
      </c>
      <c r="M6" s="182"/>
    </row>
    <row r="7" spans="1:15" s="106" customFormat="1" ht="34.5" customHeight="1">
      <c r="A7" s="176" t="s">
        <v>115</v>
      </c>
      <c r="B7" s="177"/>
      <c r="C7" s="120" t="e">
        <f aca="true" t="shared" si="0" ref="C7:M7">C8+C9</f>
        <v>#REF!</v>
      </c>
      <c r="D7" s="120" t="e">
        <f t="shared" si="0"/>
        <v>#REF!</v>
      </c>
      <c r="E7" s="120" t="e">
        <f t="shared" si="0"/>
        <v>#REF!</v>
      </c>
      <c r="F7" s="120" t="e">
        <f t="shared" si="0"/>
        <v>#REF!</v>
      </c>
      <c r="G7" s="120" t="e">
        <f t="shared" si="0"/>
        <v>#REF!</v>
      </c>
      <c r="H7" s="120" t="e">
        <f t="shared" si="0"/>
        <v>#REF!</v>
      </c>
      <c r="I7" s="120" t="e">
        <f t="shared" si="0"/>
        <v>#REF!</v>
      </c>
      <c r="J7" s="120" t="e">
        <f t="shared" si="0"/>
        <v>#REF!</v>
      </c>
      <c r="K7" s="120" t="e">
        <f t="shared" si="0"/>
        <v>#REF!</v>
      </c>
      <c r="L7" s="120" t="e">
        <f t="shared" si="0"/>
        <v>#REF!</v>
      </c>
      <c r="M7" s="120" t="e">
        <f t="shared" si="0"/>
        <v>#REF!</v>
      </c>
      <c r="N7" s="116"/>
      <c r="O7" s="117"/>
    </row>
    <row r="8" spans="1:15" ht="45.75" customHeight="1">
      <c r="A8" s="119">
        <v>1</v>
      </c>
      <c r="B8" s="110" t="s">
        <v>113</v>
      </c>
      <c r="C8" s="122" t="e">
        <f>D8+M8</f>
        <v>#REF!</v>
      </c>
      <c r="D8" s="122" t="e">
        <f>SUM(E8:L8)</f>
        <v>#REF!</v>
      </c>
      <c r="E8" s="121" t="e">
        <f>#REF!</f>
        <v>#REF!</v>
      </c>
      <c r="F8" s="122" t="e">
        <f>#REF!</f>
        <v>#REF!</v>
      </c>
      <c r="G8" s="122" t="e">
        <f>#REF!</f>
        <v>#REF!</v>
      </c>
      <c r="H8" s="122" t="e">
        <f>#REF!</f>
        <v>#REF!</v>
      </c>
      <c r="I8" s="121" t="e">
        <f>#REF!</f>
        <v>#REF!</v>
      </c>
      <c r="J8" s="121" t="e">
        <f>#REF!</f>
        <v>#REF!</v>
      </c>
      <c r="K8" s="121" t="e">
        <f>#REF!</f>
        <v>#REF!</v>
      </c>
      <c r="L8" s="121" t="e">
        <f>#REF!</f>
        <v>#REF!</v>
      </c>
      <c r="M8" s="122" t="e">
        <f>#REF!</f>
        <v>#REF!</v>
      </c>
      <c r="N8" s="116"/>
      <c r="O8" s="115"/>
    </row>
    <row r="9" spans="1:15" s="106" customFormat="1" ht="39.75" customHeight="1">
      <c r="A9" s="119">
        <v>2</v>
      </c>
      <c r="B9" s="110" t="s">
        <v>114</v>
      </c>
      <c r="C9" s="122" t="e">
        <f>D9+M9</f>
        <v>#REF!</v>
      </c>
      <c r="D9" s="122" t="e">
        <f>SUM(E9:L9)</f>
        <v>#REF!</v>
      </c>
      <c r="E9" s="122" t="e">
        <f>#REF!+#REF!</f>
        <v>#REF!</v>
      </c>
      <c r="F9" s="122" t="e">
        <f>#REF!+#REF!</f>
        <v>#REF!</v>
      </c>
      <c r="G9" s="122" t="e">
        <f>#REF!+#REF!</f>
        <v>#REF!</v>
      </c>
      <c r="H9" s="122" t="e">
        <f>#REF!+#REF!</f>
        <v>#REF!</v>
      </c>
      <c r="I9" s="122" t="e">
        <f>#REF!+#REF!</f>
        <v>#REF!</v>
      </c>
      <c r="J9" s="122" t="e">
        <f>#REF!+#REF!</f>
        <v>#REF!</v>
      </c>
      <c r="K9" s="122" t="e">
        <f>#REF!+#REF!</f>
        <v>#REF!</v>
      </c>
      <c r="L9" s="122" t="e">
        <f>#REF!+#REF!</f>
        <v>#REF!</v>
      </c>
      <c r="M9" s="122" t="e">
        <f>#REF!+#REF!</f>
        <v>#REF!</v>
      </c>
      <c r="N9" s="116"/>
      <c r="O9" s="115"/>
    </row>
  </sheetData>
  <sheetProtection/>
  <mergeCells count="9">
    <mergeCell ref="A7:B7"/>
    <mergeCell ref="A3:M3"/>
    <mergeCell ref="A2:M2"/>
    <mergeCell ref="A5:A6"/>
    <mergeCell ref="B5:B6"/>
    <mergeCell ref="M5:M6"/>
    <mergeCell ref="C5:C6"/>
    <mergeCell ref="D5:L5"/>
    <mergeCell ref="L4:M4"/>
  </mergeCells>
  <printOptions/>
  <pageMargins left="0.48" right="0.2" top="0.66" bottom="0.2" header="0.23" footer="0.2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24"/>
  </sheetPr>
  <dimension ref="A1:N41"/>
  <sheetViews>
    <sheetView zoomScale="85" zoomScaleNormal="85" zoomScalePageLayoutView="0" workbookViewId="0" topLeftCell="A1">
      <pane xSplit="2" ySplit="7" topLeftCell="C33" activePane="bottomRight" state="frozen"/>
      <selection pane="topLeft" activeCell="A1" sqref="A1"/>
      <selection pane="topRight" activeCell="C1" sqref="C1"/>
      <selection pane="bottomLeft" activeCell="A8" sqref="A8"/>
      <selection pane="bottomRight" activeCell="C30" sqref="C30"/>
    </sheetView>
  </sheetViews>
  <sheetFormatPr defaultColWidth="9.140625" defaultRowHeight="12.75"/>
  <cols>
    <col min="1" max="1" width="4.7109375" style="13" customWidth="1"/>
    <col min="2" max="2" width="38.7109375" style="13" customWidth="1"/>
    <col min="3" max="12" width="12.28125" style="13" customWidth="1"/>
    <col min="13" max="13" width="10.140625" style="13" customWidth="1"/>
    <col min="14" max="16384" width="9.140625" style="13" customWidth="1"/>
  </cols>
  <sheetData>
    <row r="1" spans="1:2" ht="13.5" customHeight="1">
      <c r="A1" s="141" t="s">
        <v>102</v>
      </c>
      <c r="B1" s="141"/>
    </row>
    <row r="2" spans="1:13" ht="18" customHeight="1">
      <c r="A2" s="144" t="s">
        <v>52</v>
      </c>
      <c r="B2" s="144"/>
      <c r="C2" s="144"/>
      <c r="D2" s="144"/>
      <c r="E2" s="144"/>
      <c r="F2" s="144"/>
      <c r="G2" s="144"/>
      <c r="H2" s="144"/>
      <c r="I2" s="144"/>
      <c r="J2" s="144"/>
      <c r="K2" s="144"/>
      <c r="L2" s="144"/>
      <c r="M2" s="144"/>
    </row>
    <row r="3" spans="1:13" ht="18" customHeight="1">
      <c r="A3" s="144" t="s">
        <v>16</v>
      </c>
      <c r="B3" s="144"/>
      <c r="C3" s="144"/>
      <c r="D3" s="144"/>
      <c r="E3" s="144"/>
      <c r="F3" s="144"/>
      <c r="G3" s="144"/>
      <c r="H3" s="144"/>
      <c r="I3" s="144"/>
      <c r="J3" s="144"/>
      <c r="K3" s="144"/>
      <c r="L3" s="144"/>
      <c r="M3" s="144"/>
    </row>
    <row r="4" spans="1:13" ht="12.75" customHeight="1">
      <c r="A4" s="142"/>
      <c r="B4" s="142"/>
      <c r="C4" s="142"/>
      <c r="D4" s="142"/>
      <c r="E4" s="142"/>
      <c r="F4" s="142"/>
      <c r="G4" s="142"/>
      <c r="H4" s="142"/>
      <c r="I4" s="142"/>
      <c r="J4" s="142"/>
      <c r="K4" s="142"/>
      <c r="L4" s="143" t="s">
        <v>98</v>
      </c>
      <c r="M4" s="143"/>
    </row>
    <row r="5" spans="1:13" ht="19.5" customHeight="1">
      <c r="A5" s="135" t="s">
        <v>0</v>
      </c>
      <c r="B5" s="135" t="s">
        <v>1</v>
      </c>
      <c r="C5" s="135" t="s">
        <v>12</v>
      </c>
      <c r="D5" s="135" t="s">
        <v>15</v>
      </c>
      <c r="E5" s="135"/>
      <c r="F5" s="135"/>
      <c r="G5" s="135"/>
      <c r="H5" s="135"/>
      <c r="I5" s="135"/>
      <c r="J5" s="135"/>
      <c r="K5" s="135"/>
      <c r="L5" s="135"/>
      <c r="M5" s="135"/>
    </row>
    <row r="6" spans="1:13" ht="19.5" customHeight="1">
      <c r="A6" s="135"/>
      <c r="B6" s="135"/>
      <c r="C6" s="135"/>
      <c r="D6" s="135" t="s">
        <v>24</v>
      </c>
      <c r="E6" s="135" t="s">
        <v>11</v>
      </c>
      <c r="F6" s="135" t="s">
        <v>13</v>
      </c>
      <c r="G6" s="135" t="s">
        <v>2</v>
      </c>
      <c r="H6" s="135" t="s">
        <v>3</v>
      </c>
      <c r="I6" s="135" t="s">
        <v>22</v>
      </c>
      <c r="J6" s="135" t="s">
        <v>23</v>
      </c>
      <c r="K6" s="135" t="s">
        <v>21</v>
      </c>
      <c r="L6" s="135" t="s">
        <v>14</v>
      </c>
      <c r="M6" s="135" t="s">
        <v>20</v>
      </c>
    </row>
    <row r="7" spans="1:13" ht="19.5" customHeight="1">
      <c r="A7" s="135"/>
      <c r="B7" s="135"/>
      <c r="C7" s="135"/>
      <c r="D7" s="135"/>
      <c r="E7" s="135"/>
      <c r="F7" s="135"/>
      <c r="G7" s="135"/>
      <c r="H7" s="135"/>
      <c r="I7" s="135"/>
      <c r="J7" s="135"/>
      <c r="K7" s="135"/>
      <c r="L7" s="135"/>
      <c r="M7" s="135"/>
    </row>
    <row r="8" spans="1:13" ht="18.75" customHeight="1">
      <c r="A8" s="135" t="s">
        <v>12</v>
      </c>
      <c r="B8" s="135"/>
      <c r="C8" s="29">
        <f>C9+C36</f>
        <v>8039.8572300000005</v>
      </c>
      <c r="D8" s="29">
        <f aca="true" t="shared" si="0" ref="D8:M8">D9+D36</f>
        <v>26.45555</v>
      </c>
      <c r="E8" s="29">
        <f t="shared" si="0"/>
        <v>1726.86838</v>
      </c>
      <c r="F8" s="29">
        <f t="shared" si="0"/>
        <v>2955.2733999999996</v>
      </c>
      <c r="G8" s="29">
        <f t="shared" si="0"/>
        <v>412.54796000000005</v>
      </c>
      <c r="H8" s="29">
        <f t="shared" si="0"/>
        <v>627</v>
      </c>
      <c r="I8" s="29">
        <f t="shared" si="0"/>
        <v>513.768</v>
      </c>
      <c r="J8" s="29">
        <f t="shared" si="0"/>
        <v>320.9864</v>
      </c>
      <c r="K8" s="29">
        <f t="shared" si="0"/>
        <v>564.6142</v>
      </c>
      <c r="L8" s="29">
        <f t="shared" si="0"/>
        <v>804.34334</v>
      </c>
      <c r="M8" s="29">
        <f t="shared" si="0"/>
        <v>0</v>
      </c>
    </row>
    <row r="9" spans="1:13" ht="18.75" customHeight="1">
      <c r="A9" s="1" t="s">
        <v>4</v>
      </c>
      <c r="B9" s="2" t="s">
        <v>43</v>
      </c>
      <c r="C9" s="29">
        <f>C10+C27+C30+C32</f>
        <v>7951.8572300000005</v>
      </c>
      <c r="D9" s="29">
        <f>D10+D27+D30+D32</f>
        <v>26.45555</v>
      </c>
      <c r="E9" s="29">
        <f aca="true" t="shared" si="1" ref="E9:M9">E10+E27+E30+E32</f>
        <v>1726.86838</v>
      </c>
      <c r="F9" s="29">
        <f t="shared" si="1"/>
        <v>2955.2733999999996</v>
      </c>
      <c r="G9" s="29">
        <f t="shared" si="1"/>
        <v>412.54796000000005</v>
      </c>
      <c r="H9" s="29">
        <f t="shared" si="1"/>
        <v>627</v>
      </c>
      <c r="I9" s="29">
        <f t="shared" si="1"/>
        <v>513.768</v>
      </c>
      <c r="J9" s="29">
        <f t="shared" si="1"/>
        <v>320.9864</v>
      </c>
      <c r="K9" s="29">
        <f t="shared" si="1"/>
        <v>564.6142</v>
      </c>
      <c r="L9" s="29">
        <f t="shared" si="1"/>
        <v>804.34334</v>
      </c>
      <c r="M9" s="29">
        <f t="shared" si="1"/>
        <v>0</v>
      </c>
    </row>
    <row r="10" spans="1:13" s="14" customFormat="1" ht="18.75" customHeight="1">
      <c r="A10" s="1">
        <v>1</v>
      </c>
      <c r="B10" s="2" t="s">
        <v>5</v>
      </c>
      <c r="C10" s="11">
        <f>C11+C20</f>
        <v>7164.956</v>
      </c>
      <c r="D10" s="4">
        <f>D11+D20</f>
        <v>25.685</v>
      </c>
      <c r="E10" s="4">
        <f aca="true" t="shared" si="2" ref="E10:M10">E11+E20</f>
        <v>1605.5259999999998</v>
      </c>
      <c r="F10" s="4">
        <f t="shared" si="2"/>
        <v>2805.2799999999997</v>
      </c>
      <c r="G10" s="4">
        <f t="shared" si="2"/>
        <v>400.53200000000004</v>
      </c>
      <c r="H10" s="11">
        <f t="shared" si="2"/>
        <v>570</v>
      </c>
      <c r="I10" s="4">
        <f t="shared" si="2"/>
        <v>421.45000000000005</v>
      </c>
      <c r="J10" s="4">
        <f t="shared" si="2"/>
        <v>66.88</v>
      </c>
      <c r="K10" s="4">
        <f t="shared" si="2"/>
        <v>527.425</v>
      </c>
      <c r="L10" s="4">
        <f t="shared" si="2"/>
        <v>742.178</v>
      </c>
      <c r="M10" s="4">
        <f t="shared" si="2"/>
        <v>0</v>
      </c>
    </row>
    <row r="11" spans="1:13" ht="18.75" customHeight="1">
      <c r="A11" s="1" t="s">
        <v>27</v>
      </c>
      <c r="B11" s="2" t="s">
        <v>7</v>
      </c>
      <c r="C11" s="11">
        <f>C12+C16+C19</f>
        <v>3588.491</v>
      </c>
      <c r="D11" s="4">
        <f>D12+D16+D19</f>
        <v>25.685</v>
      </c>
      <c r="E11" s="4">
        <f aca="true" t="shared" si="3" ref="E11:M11">E12+E16+E19</f>
        <v>560.1460000000001</v>
      </c>
      <c r="F11" s="4">
        <f t="shared" si="3"/>
        <v>1864.78</v>
      </c>
      <c r="G11" s="4">
        <f t="shared" si="3"/>
        <v>400.53200000000004</v>
      </c>
      <c r="H11" s="4">
        <f t="shared" si="3"/>
        <v>0</v>
      </c>
      <c r="I11" s="4">
        <f t="shared" si="3"/>
        <v>276.1</v>
      </c>
      <c r="J11" s="4">
        <f t="shared" si="3"/>
        <v>66.88</v>
      </c>
      <c r="K11" s="4">
        <f t="shared" si="3"/>
        <v>222.19</v>
      </c>
      <c r="L11" s="4">
        <f t="shared" si="3"/>
        <v>172.178</v>
      </c>
      <c r="M11" s="4">
        <f t="shared" si="3"/>
        <v>0</v>
      </c>
    </row>
    <row r="12" spans="1:13" s="14" customFormat="1" ht="18.75" customHeight="1">
      <c r="A12" s="1" t="s">
        <v>47</v>
      </c>
      <c r="B12" s="2" t="s">
        <v>19</v>
      </c>
      <c r="C12" s="11">
        <f>SUM(D12:M12)</f>
        <v>788.256</v>
      </c>
      <c r="D12" s="4">
        <f>D13+D14+D15</f>
        <v>0</v>
      </c>
      <c r="E12" s="4">
        <f aca="true" t="shared" si="4" ref="E12:M12">E13+E14+E15</f>
        <v>101.556</v>
      </c>
      <c r="F12" s="4">
        <f t="shared" si="4"/>
        <v>211.68</v>
      </c>
      <c r="G12" s="4">
        <f t="shared" si="4"/>
        <v>273.04200000000003</v>
      </c>
      <c r="H12" s="4">
        <f t="shared" si="4"/>
        <v>0</v>
      </c>
      <c r="I12" s="4">
        <f t="shared" si="4"/>
        <v>0</v>
      </c>
      <c r="J12" s="4">
        <f t="shared" si="4"/>
        <v>0</v>
      </c>
      <c r="K12" s="4">
        <f t="shared" si="4"/>
        <v>113.39999999999999</v>
      </c>
      <c r="L12" s="4">
        <f t="shared" si="4"/>
        <v>88.57799999999999</v>
      </c>
      <c r="M12" s="4">
        <f t="shared" si="4"/>
        <v>0</v>
      </c>
    </row>
    <row r="13" spans="1:13" ht="18.75" customHeight="1">
      <c r="A13" s="6" t="s">
        <v>6</v>
      </c>
      <c r="B13" s="5" t="s">
        <v>8</v>
      </c>
      <c r="C13" s="27">
        <f aca="true" t="shared" si="5" ref="C13:C19">SUM(D13:M13)</f>
        <v>756.3779999999999</v>
      </c>
      <c r="D13" s="3"/>
      <c r="E13" s="3">
        <f>'2017-Kl'!F11*12.6</f>
        <v>101.556</v>
      </c>
      <c r="F13" s="3">
        <f>'2017-Kl'!G11*12.6</f>
        <v>211.68</v>
      </c>
      <c r="G13" s="3">
        <f>'2017-Kl'!H11*12.6</f>
        <v>244.062</v>
      </c>
      <c r="H13" s="3">
        <f>'2017-Kl'!I11*12.6</f>
        <v>0</v>
      </c>
      <c r="I13" s="3">
        <f>'2017-Kl'!J11*12.6</f>
        <v>0</v>
      </c>
      <c r="J13" s="3">
        <f>'2017-Kl'!K11*12.6</f>
        <v>0</v>
      </c>
      <c r="K13" s="26">
        <f>'2017-Kl'!L11*12.6</f>
        <v>113.39999999999999</v>
      </c>
      <c r="L13" s="3">
        <f>'2017-Kl'!M11*12.6</f>
        <v>85.67999999999999</v>
      </c>
      <c r="M13" s="3">
        <f>'2017-Kl'!N11*12.6</f>
        <v>0</v>
      </c>
    </row>
    <row r="14" spans="1:14" ht="18.75" customHeight="1">
      <c r="A14" s="6" t="s">
        <v>6</v>
      </c>
      <c r="B14" s="5" t="s">
        <v>30</v>
      </c>
      <c r="C14" s="27">
        <f t="shared" si="5"/>
        <v>28.979999999999997</v>
      </c>
      <c r="D14" s="3"/>
      <c r="E14" s="3">
        <f>'2017-Kl'!F12*12.6</f>
        <v>0</v>
      </c>
      <c r="F14" s="3">
        <f>'2017-Kl'!G12*12.6</f>
        <v>0</v>
      </c>
      <c r="G14" s="27">
        <f>'2017-Kl'!H12*12.6</f>
        <v>28.979999999999997</v>
      </c>
      <c r="H14" s="3">
        <f>'2017-Kl'!I12*12.6</f>
        <v>0</v>
      </c>
      <c r="I14" s="3">
        <f>'2017-Kl'!J12*12.6</f>
        <v>0</v>
      </c>
      <c r="J14" s="3">
        <f>'2017-Kl'!K12*12.6</f>
        <v>0</v>
      </c>
      <c r="K14" s="3">
        <f>'2017-Kl'!L12*12.6</f>
        <v>0</v>
      </c>
      <c r="L14" s="3">
        <f>'2017-Kl'!M12*12.6</f>
        <v>0</v>
      </c>
      <c r="M14" s="3">
        <f>'2017-Kl'!N12*12.6</f>
        <v>0</v>
      </c>
      <c r="N14" s="30"/>
    </row>
    <row r="15" spans="1:13" ht="18.75" customHeight="1">
      <c r="A15" s="6" t="s">
        <v>6</v>
      </c>
      <c r="B15" s="5" t="s">
        <v>33</v>
      </c>
      <c r="C15" s="27">
        <f t="shared" si="5"/>
        <v>2.898</v>
      </c>
      <c r="D15" s="26"/>
      <c r="E15" s="26">
        <f>'2017-Kl'!F13*1.8</f>
        <v>0</v>
      </c>
      <c r="F15" s="26">
        <f>'2017-Kl'!G13*1.8</f>
        <v>0</v>
      </c>
      <c r="G15" s="26">
        <f>'2017-Kl'!H13*1.8</f>
        <v>0</v>
      </c>
      <c r="H15" s="26">
        <f>'2017-Kl'!I13*1.8</f>
        <v>0</v>
      </c>
      <c r="I15" s="26">
        <f>'2017-Kl'!J13*1.8</f>
        <v>0</v>
      </c>
      <c r="J15" s="26">
        <f>'2017-Kl'!K13*1.8</f>
        <v>0</v>
      </c>
      <c r="K15" s="26">
        <f>'2017-Kl'!L13*1.8</f>
        <v>0</v>
      </c>
      <c r="L15" s="27">
        <f>'2017-Kl'!M13*1.8</f>
        <v>2.898</v>
      </c>
      <c r="M15" s="3">
        <f>'2017-Kl'!N13*1.8</f>
        <v>0</v>
      </c>
    </row>
    <row r="16" spans="1:13" s="14" customFormat="1" ht="18.75" customHeight="1">
      <c r="A16" s="1" t="s">
        <v>48</v>
      </c>
      <c r="B16" s="2" t="s">
        <v>28</v>
      </c>
      <c r="C16" s="11">
        <f t="shared" si="5"/>
        <v>2633.235</v>
      </c>
      <c r="D16" s="4">
        <f>D17+D18</f>
        <v>25.685</v>
      </c>
      <c r="E16" s="4">
        <f aca="true" t="shared" si="6" ref="E16:M16">E17+E18</f>
        <v>458.59000000000003</v>
      </c>
      <c r="F16" s="23">
        <f t="shared" si="6"/>
        <v>1486.1</v>
      </c>
      <c r="G16" s="4">
        <f t="shared" si="6"/>
        <v>127.49000000000002</v>
      </c>
      <c r="H16" s="4">
        <f t="shared" si="6"/>
        <v>0</v>
      </c>
      <c r="I16" s="23">
        <f t="shared" si="6"/>
        <v>276.1</v>
      </c>
      <c r="J16" s="4">
        <f t="shared" si="6"/>
        <v>66.88</v>
      </c>
      <c r="K16" s="4">
        <f t="shared" si="6"/>
        <v>108.79</v>
      </c>
      <c r="L16" s="23">
        <f t="shared" si="6"/>
        <v>83.6</v>
      </c>
      <c r="M16" s="4">
        <f t="shared" si="6"/>
        <v>0</v>
      </c>
    </row>
    <row r="17" spans="1:13" ht="18.75" customHeight="1">
      <c r="A17" s="6" t="s">
        <v>6</v>
      </c>
      <c r="B17" s="5" t="s">
        <v>8</v>
      </c>
      <c r="C17" s="27">
        <f t="shared" si="5"/>
        <v>2424.125</v>
      </c>
      <c r="D17" s="3">
        <f>'2017-Kl'!E15*5.5</f>
        <v>25.685</v>
      </c>
      <c r="E17" s="3">
        <f>'2017-Kl'!F15*11</f>
        <v>249.48</v>
      </c>
      <c r="F17" s="26">
        <f>'2017-Kl'!G15*11</f>
        <v>1486.1</v>
      </c>
      <c r="G17" s="3">
        <f>'2017-Kl'!H15*11</f>
        <v>127.49000000000002</v>
      </c>
      <c r="H17" s="3">
        <f>'2017-Kl'!I15*11</f>
        <v>0</v>
      </c>
      <c r="I17" s="3">
        <f>'2017-Kl'!J15*11</f>
        <v>276.1</v>
      </c>
      <c r="J17" s="3">
        <f>'2017-Kl'!K15*11</f>
        <v>66.88</v>
      </c>
      <c r="K17" s="3">
        <f>'2017-Kl'!L15*11</f>
        <v>108.79</v>
      </c>
      <c r="L17" s="26">
        <f>'2017-Kl'!M15*11</f>
        <v>83.6</v>
      </c>
      <c r="M17" s="3">
        <f>'2017-Kl'!N15*11</f>
        <v>0</v>
      </c>
    </row>
    <row r="18" spans="1:13" ht="18.75" customHeight="1">
      <c r="A18" s="6" t="s">
        <v>6</v>
      </c>
      <c r="B18" s="5" t="s">
        <v>30</v>
      </c>
      <c r="C18" s="27">
        <f t="shared" si="5"/>
        <v>209.11</v>
      </c>
      <c r="D18" s="3">
        <f>'2017-Kl'!E16*11/2</f>
        <v>0</v>
      </c>
      <c r="E18" s="3">
        <f>'2017-Kl'!F16*11</f>
        <v>209.11</v>
      </c>
      <c r="F18" s="3">
        <f>'2017-Kl'!G16*11</f>
        <v>0</v>
      </c>
      <c r="G18" s="3">
        <f>'2017-Kl'!H16*11</f>
        <v>0</v>
      </c>
      <c r="H18" s="3">
        <f>'2017-Kl'!I16*11</f>
        <v>0</v>
      </c>
      <c r="I18" s="3">
        <f>'2017-Kl'!J16*11</f>
        <v>0</v>
      </c>
      <c r="J18" s="3">
        <f>'2017-Kl'!K16*11</f>
        <v>0</v>
      </c>
      <c r="K18" s="3">
        <f>'2017-Kl'!L16*11</f>
        <v>0</v>
      </c>
      <c r="L18" s="3">
        <f>'2017-Kl'!M16*11</f>
        <v>0</v>
      </c>
      <c r="M18" s="3">
        <f>'2017-Kl'!N16*11</f>
        <v>0</v>
      </c>
    </row>
    <row r="19" spans="1:13" s="14" customFormat="1" ht="18.75" customHeight="1">
      <c r="A19" s="1" t="s">
        <v>49</v>
      </c>
      <c r="B19" s="2" t="s">
        <v>32</v>
      </c>
      <c r="C19" s="11">
        <f t="shared" si="5"/>
        <v>167</v>
      </c>
      <c r="D19" s="27"/>
      <c r="E19" s="27">
        <f>'2017-Kl'!F17*2.5</f>
        <v>0</v>
      </c>
      <c r="F19" s="27">
        <f>'2017-Kl'!G17*2.5</f>
        <v>167</v>
      </c>
      <c r="G19" s="3">
        <f>'2017-Kl'!H17*2.5</f>
        <v>0</v>
      </c>
      <c r="H19" s="3">
        <f>'2017-Kl'!I17*2.5</f>
        <v>0</v>
      </c>
      <c r="I19" s="3">
        <f>'2017-Kl'!J17*2.5</f>
        <v>0</v>
      </c>
      <c r="J19" s="3">
        <f>'2017-Kl'!K17*2.5</f>
        <v>0</v>
      </c>
      <c r="K19" s="3">
        <f>'2017-Kl'!L17*2.5</f>
        <v>0</v>
      </c>
      <c r="L19" s="3">
        <f>'2017-Kl'!M17*2.5</f>
        <v>0</v>
      </c>
      <c r="M19" s="3">
        <f>'2017-Kl'!N17*2.5</f>
        <v>0</v>
      </c>
    </row>
    <row r="20" spans="1:13" s="14" customFormat="1" ht="18.75" customHeight="1">
      <c r="A20" s="1" t="s">
        <v>29</v>
      </c>
      <c r="B20" s="2" t="s">
        <v>34</v>
      </c>
      <c r="C20" s="11">
        <f>C21+C24</f>
        <v>3576.465</v>
      </c>
      <c r="D20" s="83">
        <f aca="true" t="shared" si="7" ref="D20:M20">D21+D24</f>
        <v>0</v>
      </c>
      <c r="E20" s="83">
        <f t="shared" si="7"/>
        <v>1045.3799999999999</v>
      </c>
      <c r="F20" s="23">
        <f t="shared" si="7"/>
        <v>940.5</v>
      </c>
      <c r="G20" s="4">
        <f t="shared" si="7"/>
        <v>0</v>
      </c>
      <c r="H20" s="11">
        <f t="shared" si="7"/>
        <v>570</v>
      </c>
      <c r="I20" s="11">
        <f t="shared" si="7"/>
        <v>145.35</v>
      </c>
      <c r="J20" s="23">
        <f t="shared" si="7"/>
        <v>0</v>
      </c>
      <c r="K20" s="4">
        <f t="shared" si="7"/>
        <v>305.235</v>
      </c>
      <c r="L20" s="11">
        <f t="shared" si="7"/>
        <v>570</v>
      </c>
      <c r="M20" s="4">
        <f t="shared" si="7"/>
        <v>0</v>
      </c>
    </row>
    <row r="21" spans="1:13" ht="18.75" customHeight="1">
      <c r="A21" s="6" t="s">
        <v>47</v>
      </c>
      <c r="B21" s="5" t="s">
        <v>17</v>
      </c>
      <c r="C21" s="27">
        <f aca="true" t="shared" si="8" ref="C21:M21">C22+C23</f>
        <v>2795.565</v>
      </c>
      <c r="D21" s="84">
        <f t="shared" si="8"/>
        <v>0</v>
      </c>
      <c r="E21" s="85">
        <f t="shared" si="8"/>
        <v>715.0649999999999</v>
      </c>
      <c r="F21" s="26">
        <f t="shared" si="8"/>
        <v>940.5</v>
      </c>
      <c r="G21" s="3">
        <f t="shared" si="8"/>
        <v>0</v>
      </c>
      <c r="H21" s="27">
        <f t="shared" si="8"/>
        <v>570</v>
      </c>
      <c r="I21" s="27">
        <f>I22+I23</f>
        <v>0</v>
      </c>
      <c r="J21" s="3">
        <f t="shared" si="8"/>
        <v>0</v>
      </c>
      <c r="K21" s="3">
        <f t="shared" si="8"/>
        <v>0</v>
      </c>
      <c r="L21" s="27">
        <f t="shared" si="8"/>
        <v>570</v>
      </c>
      <c r="M21" s="3">
        <f t="shared" si="8"/>
        <v>0</v>
      </c>
    </row>
    <row r="22" spans="1:13" ht="18.75" customHeight="1" hidden="1">
      <c r="A22" s="7" t="s">
        <v>6</v>
      </c>
      <c r="B22" s="5" t="s">
        <v>18</v>
      </c>
      <c r="C22" s="27">
        <f>SUM(D22:M22)</f>
        <v>2795.565</v>
      </c>
      <c r="D22" s="84">
        <f>'2017-Kl'!E21*14</f>
        <v>0</v>
      </c>
      <c r="E22" s="85">
        <f>'2017-Kl'!F21*28.5</f>
        <v>715.0649999999999</v>
      </c>
      <c r="F22" s="26">
        <f>'2017-Kl'!G21*28.5</f>
        <v>940.5</v>
      </c>
      <c r="G22" s="3">
        <f>'2017-Kl'!H21*28.5</f>
        <v>0</v>
      </c>
      <c r="H22" s="27">
        <f>'2017-Kl'!I21*28.5</f>
        <v>570</v>
      </c>
      <c r="I22" s="27">
        <f>'2017-Kl'!J21*28.5</f>
        <v>0</v>
      </c>
      <c r="J22" s="3">
        <f>'2017-Kl'!K21*28.5</f>
        <v>0</v>
      </c>
      <c r="K22" s="3">
        <f>'2017-Kl'!L21*28.5</f>
        <v>0</v>
      </c>
      <c r="L22" s="27">
        <f>'2017-Kl'!M21*28.5</f>
        <v>570</v>
      </c>
      <c r="M22" s="3">
        <f>'2017-Kl'!N21*14</f>
        <v>0</v>
      </c>
    </row>
    <row r="23" spans="1:13" ht="18.75" customHeight="1" hidden="1">
      <c r="A23" s="7" t="s">
        <v>6</v>
      </c>
      <c r="B23" s="5" t="s">
        <v>25</v>
      </c>
      <c r="C23" s="27">
        <f>SUM(D23:M23)</f>
        <v>0</v>
      </c>
      <c r="D23" s="84">
        <f>'2017-Kl'!E22*14</f>
        <v>0</v>
      </c>
      <c r="E23" s="84">
        <f>'2017-Kl'!F22*28.5</f>
        <v>0</v>
      </c>
      <c r="F23" s="3">
        <f>'2017-Kl'!G22*28.5</f>
        <v>0</v>
      </c>
      <c r="G23" s="3">
        <f>'2017-Kl'!H22*28.5</f>
        <v>0</v>
      </c>
      <c r="H23" s="3">
        <f>'2017-Kl'!I22*28.5</f>
        <v>0</v>
      </c>
      <c r="I23" s="3">
        <f>'2017-Kl'!J22*28.5</f>
        <v>0</v>
      </c>
      <c r="J23" s="3">
        <f>'2017-Kl'!K22*28.5</f>
        <v>0</v>
      </c>
      <c r="K23" s="3">
        <f>'2017-Kl'!L22*28.5</f>
        <v>0</v>
      </c>
      <c r="L23" s="3">
        <f>'2017-Kl'!M22*28.5</f>
        <v>0</v>
      </c>
      <c r="M23" s="3">
        <f>'2017-Kl'!N22*14</f>
        <v>0</v>
      </c>
    </row>
    <row r="24" spans="1:13" ht="18.75" customHeight="1">
      <c r="A24" s="22" t="s">
        <v>48</v>
      </c>
      <c r="B24" s="5" t="s">
        <v>26</v>
      </c>
      <c r="C24" s="27">
        <f aca="true" t="shared" si="9" ref="C24:M24">C25+C26</f>
        <v>780.9</v>
      </c>
      <c r="D24" s="84">
        <f>D25+D26</f>
        <v>0</v>
      </c>
      <c r="E24" s="84">
        <f>E25+E26</f>
        <v>330.315</v>
      </c>
      <c r="F24" s="3">
        <f t="shared" si="9"/>
        <v>0</v>
      </c>
      <c r="G24" s="3">
        <f t="shared" si="9"/>
        <v>0</v>
      </c>
      <c r="H24" s="3">
        <f t="shared" si="9"/>
        <v>0</v>
      </c>
      <c r="I24" s="3">
        <f t="shared" si="9"/>
        <v>145.35</v>
      </c>
      <c r="J24" s="26">
        <f t="shared" si="9"/>
        <v>0</v>
      </c>
      <c r="K24" s="3">
        <f t="shared" si="9"/>
        <v>305.235</v>
      </c>
      <c r="L24" s="3">
        <f t="shared" si="9"/>
        <v>0</v>
      </c>
      <c r="M24" s="3">
        <f t="shared" si="9"/>
        <v>0</v>
      </c>
    </row>
    <row r="25" spans="1:13" s="15" customFormat="1" ht="18.75" customHeight="1">
      <c r="A25" s="7" t="s">
        <v>6</v>
      </c>
      <c r="B25" s="10" t="s">
        <v>8</v>
      </c>
      <c r="C25" s="27">
        <f>SUM(D25:M25)</f>
        <v>780.9</v>
      </c>
      <c r="D25" s="3">
        <f>'2017-Kl'!E24*28.5</f>
        <v>0</v>
      </c>
      <c r="E25" s="3">
        <f>'2017-Kl'!F24*28.5</f>
        <v>330.315</v>
      </c>
      <c r="F25" s="3">
        <f>'2017-Kl'!G24*28.5</f>
        <v>0</v>
      </c>
      <c r="G25" s="3">
        <f>'2017-Kl'!H24*28.5</f>
        <v>0</v>
      </c>
      <c r="H25" s="3">
        <f>'2017-Kl'!I24*28.5</f>
        <v>0</v>
      </c>
      <c r="I25" s="3">
        <f>'2017-Kl'!J24*28.5</f>
        <v>145.35</v>
      </c>
      <c r="J25" s="26">
        <f>'2017-Kl'!K24*28.5</f>
        <v>0</v>
      </c>
      <c r="K25" s="3">
        <f>(8.49+2.22)*28.5</f>
        <v>305.235</v>
      </c>
      <c r="L25" s="3">
        <f>'2017-Kl'!M24*28.5</f>
        <v>0</v>
      </c>
      <c r="M25" s="3">
        <f>'2017-Kl'!N24*14</f>
        <v>0</v>
      </c>
    </row>
    <row r="26" spans="1:13" s="15" customFormat="1" ht="18.75" customHeight="1">
      <c r="A26" s="7" t="s">
        <v>6</v>
      </c>
      <c r="B26" s="10" t="s">
        <v>9</v>
      </c>
      <c r="C26" s="27">
        <f>SUM(D26:M26)</f>
        <v>0</v>
      </c>
      <c r="D26" s="3">
        <f>'2017-Kl'!E25*6.5</f>
        <v>0</v>
      </c>
      <c r="E26" s="3">
        <f>'2017-Kl'!F25*6.5</f>
        <v>0</v>
      </c>
      <c r="F26" s="3">
        <f>'2017-Kl'!G25*6.5</f>
        <v>0</v>
      </c>
      <c r="G26" s="3">
        <f>'2017-Kl'!H25*6.5</f>
        <v>0</v>
      </c>
      <c r="H26" s="3">
        <f>'2017-Kl'!I25*6.5</f>
        <v>0</v>
      </c>
      <c r="I26" s="3">
        <f>'2017-Kl'!J25*6.5</f>
        <v>0</v>
      </c>
      <c r="J26" s="27">
        <f>'2017-Kl'!K25*6.5</f>
        <v>0</v>
      </c>
      <c r="K26" s="3">
        <f>'2017-Kl'!L25*6.5</f>
        <v>0</v>
      </c>
      <c r="L26" s="3">
        <f>'2017-Kl'!M25*6.5</f>
        <v>0</v>
      </c>
      <c r="M26" s="3">
        <f>'2017-Kl'!N25*6.5</f>
        <v>0</v>
      </c>
    </row>
    <row r="27" spans="1:13" s="14" customFormat="1" ht="18.75" customHeight="1">
      <c r="A27" s="1">
        <v>2</v>
      </c>
      <c r="B27" s="2" t="s">
        <v>103</v>
      </c>
      <c r="C27" s="12">
        <f>C28+C29</f>
        <v>465.30123</v>
      </c>
      <c r="D27" s="24">
        <f aca="true" t="shared" si="10" ref="D27:M27">D28+D29</f>
        <v>0.77055</v>
      </c>
      <c r="E27" s="24">
        <f t="shared" si="10"/>
        <v>121.34237999999999</v>
      </c>
      <c r="F27" s="24">
        <f t="shared" si="10"/>
        <v>149.9934</v>
      </c>
      <c r="G27" s="24">
        <f t="shared" si="10"/>
        <v>12.015960000000002</v>
      </c>
      <c r="H27" s="12">
        <f t="shared" si="10"/>
        <v>57</v>
      </c>
      <c r="I27" s="24">
        <f t="shared" si="10"/>
        <v>22.818</v>
      </c>
      <c r="J27" s="24">
        <f t="shared" si="10"/>
        <v>2.0063999999999997</v>
      </c>
      <c r="K27" s="24">
        <f t="shared" si="10"/>
        <v>37.1892</v>
      </c>
      <c r="L27" s="24">
        <f t="shared" si="10"/>
        <v>62.16534</v>
      </c>
      <c r="M27" s="24">
        <f t="shared" si="10"/>
        <v>0</v>
      </c>
    </row>
    <row r="28" spans="1:13" s="14" customFormat="1" ht="18.75" customHeight="1">
      <c r="A28" s="6" t="s">
        <v>6</v>
      </c>
      <c r="B28" s="5" t="s">
        <v>55</v>
      </c>
      <c r="C28" s="27">
        <f>SUM(D28:M28)</f>
        <v>214.94867999999997</v>
      </c>
      <c r="D28" s="25">
        <f>D10*3%</f>
        <v>0.77055</v>
      </c>
      <c r="E28" s="25">
        <f>E10*3%</f>
        <v>48.16577999999999</v>
      </c>
      <c r="F28" s="25">
        <f aca="true" t="shared" si="11" ref="F28:M28">F10*3%</f>
        <v>84.15839999999999</v>
      </c>
      <c r="G28" s="25">
        <f t="shared" si="11"/>
        <v>12.015960000000002</v>
      </c>
      <c r="H28" s="25">
        <f t="shared" si="11"/>
        <v>17.099999999999998</v>
      </c>
      <c r="I28" s="25">
        <f t="shared" si="11"/>
        <v>12.643500000000001</v>
      </c>
      <c r="J28" s="25">
        <f t="shared" si="11"/>
        <v>2.0063999999999997</v>
      </c>
      <c r="K28" s="25">
        <f t="shared" si="11"/>
        <v>15.822749999999997</v>
      </c>
      <c r="L28" s="25">
        <f t="shared" si="11"/>
        <v>22.26534</v>
      </c>
      <c r="M28" s="25">
        <f t="shared" si="11"/>
        <v>0</v>
      </c>
    </row>
    <row r="29" spans="1:13" s="14" customFormat="1" ht="27.75" customHeight="1">
      <c r="A29" s="6" t="s">
        <v>6</v>
      </c>
      <c r="B29" s="5" t="s">
        <v>57</v>
      </c>
      <c r="C29" s="27">
        <f>SUM(D29:M29)</f>
        <v>250.35255</v>
      </c>
      <c r="D29" s="3">
        <f>7%*(D21+D25)</f>
        <v>0</v>
      </c>
      <c r="E29" s="3">
        <f>7%*(E21+E25)</f>
        <v>73.1766</v>
      </c>
      <c r="F29" s="3">
        <f aca="true" t="shared" si="12" ref="F29:M29">7%*(F21+F25)</f>
        <v>65.83500000000001</v>
      </c>
      <c r="G29" s="3">
        <f t="shared" si="12"/>
        <v>0</v>
      </c>
      <c r="H29" s="3">
        <f t="shared" si="12"/>
        <v>39.900000000000006</v>
      </c>
      <c r="I29" s="3">
        <f t="shared" si="12"/>
        <v>10.1745</v>
      </c>
      <c r="J29" s="3">
        <f t="shared" si="12"/>
        <v>0</v>
      </c>
      <c r="K29" s="3">
        <f t="shared" si="12"/>
        <v>21.366450000000004</v>
      </c>
      <c r="L29" s="3">
        <f>7%*(L21+L25)</f>
        <v>39.900000000000006</v>
      </c>
      <c r="M29" s="3">
        <f t="shared" si="12"/>
        <v>0</v>
      </c>
    </row>
    <row r="30" spans="1:13" s="14" customFormat="1" ht="18.75" customHeight="1">
      <c r="A30" s="1">
        <v>3</v>
      </c>
      <c r="B30" s="2" t="s">
        <v>100</v>
      </c>
      <c r="C30" s="11">
        <f>C31</f>
        <v>84.8</v>
      </c>
      <c r="D30" s="11">
        <f aca="true" t="shared" si="13" ref="D30:M30">D31</f>
        <v>0</v>
      </c>
      <c r="E30" s="11">
        <f t="shared" si="13"/>
        <v>0</v>
      </c>
      <c r="F30" s="11">
        <f t="shared" si="13"/>
        <v>0</v>
      </c>
      <c r="G30" s="11">
        <f t="shared" si="13"/>
        <v>0</v>
      </c>
      <c r="H30" s="11">
        <f t="shared" si="13"/>
        <v>0</v>
      </c>
      <c r="I30" s="11">
        <f t="shared" si="13"/>
        <v>69.5</v>
      </c>
      <c r="J30" s="11">
        <f t="shared" si="13"/>
        <v>15.3</v>
      </c>
      <c r="K30" s="11">
        <f t="shared" si="13"/>
        <v>0</v>
      </c>
      <c r="L30" s="11">
        <f t="shared" si="13"/>
        <v>0</v>
      </c>
      <c r="M30" s="11">
        <f t="shared" si="13"/>
        <v>0</v>
      </c>
    </row>
    <row r="31" spans="1:13" ht="18.75" customHeight="1">
      <c r="A31" s="7" t="s">
        <v>6</v>
      </c>
      <c r="B31" s="10" t="s">
        <v>105</v>
      </c>
      <c r="C31" s="27">
        <f>SUM(D31:M31)</f>
        <v>84.8</v>
      </c>
      <c r="D31" s="33"/>
      <c r="E31" s="33"/>
      <c r="F31" s="33"/>
      <c r="G31" s="33"/>
      <c r="H31" s="33"/>
      <c r="I31" s="82">
        <v>69.5</v>
      </c>
      <c r="J31" s="82">
        <v>15.3</v>
      </c>
      <c r="K31" s="33"/>
      <c r="L31" s="33"/>
      <c r="M31" s="33"/>
    </row>
    <row r="32" spans="1:13" s="14" customFormat="1" ht="18.75" customHeight="1">
      <c r="A32" s="1">
        <v>4</v>
      </c>
      <c r="B32" s="2" t="s">
        <v>104</v>
      </c>
      <c r="C32" s="12">
        <f>SUM(C33:C35)</f>
        <v>236.8</v>
      </c>
      <c r="D32" s="12">
        <f aca="true" t="shared" si="14" ref="D32:I32">D33+D34+D35</f>
        <v>0</v>
      </c>
      <c r="E32" s="12">
        <f t="shared" si="14"/>
        <v>0</v>
      </c>
      <c r="F32" s="12">
        <f t="shared" si="14"/>
        <v>0</v>
      </c>
      <c r="G32" s="12">
        <f t="shared" si="14"/>
        <v>0</v>
      </c>
      <c r="H32" s="12">
        <f t="shared" si="14"/>
        <v>0</v>
      </c>
      <c r="I32" s="12">
        <f t="shared" si="14"/>
        <v>0</v>
      </c>
      <c r="J32" s="12">
        <f>J33+J34+J35</f>
        <v>236.8</v>
      </c>
      <c r="K32" s="12">
        <f>K33+K34+K35</f>
        <v>0</v>
      </c>
      <c r="L32" s="12">
        <f>L33+L34+L35</f>
        <v>0</v>
      </c>
      <c r="M32" s="12">
        <f>M33+M34+M35</f>
        <v>0</v>
      </c>
    </row>
    <row r="33" spans="1:13" ht="18.75" customHeight="1">
      <c r="A33" s="6" t="s">
        <v>6</v>
      </c>
      <c r="B33" s="5" t="s">
        <v>56</v>
      </c>
      <c r="C33" s="32">
        <f>SUM(D33:M33)</f>
        <v>236.8</v>
      </c>
      <c r="D33" s="33"/>
      <c r="E33" s="33"/>
      <c r="F33" s="33"/>
      <c r="G33" s="33"/>
      <c r="H33" s="33"/>
      <c r="I33" s="33"/>
      <c r="J33" s="32">
        <f>'2017-Kl'!K29*236.8</f>
        <v>236.8</v>
      </c>
      <c r="K33" s="33"/>
      <c r="L33" s="33"/>
      <c r="M33" s="33"/>
    </row>
    <row r="34" spans="1:13" s="14" customFormat="1" ht="18.75" customHeight="1">
      <c r="A34" s="22" t="s">
        <v>6</v>
      </c>
      <c r="B34" s="10" t="s">
        <v>46</v>
      </c>
      <c r="C34" s="27">
        <f>SUM(D34:M34)</f>
        <v>0</v>
      </c>
      <c r="D34" s="28"/>
      <c r="E34" s="28"/>
      <c r="F34" s="28"/>
      <c r="G34" s="28"/>
      <c r="H34" s="28"/>
      <c r="I34" s="28"/>
      <c r="J34" s="28"/>
      <c r="K34" s="28"/>
      <c r="L34" s="28"/>
      <c r="M34" s="28"/>
    </row>
    <row r="35" spans="1:13" s="14" customFormat="1" ht="18.75" customHeight="1">
      <c r="A35" s="22" t="s">
        <v>6</v>
      </c>
      <c r="B35" s="10" t="s">
        <v>54</v>
      </c>
      <c r="C35" s="27">
        <f>SUM(D35:M35)</f>
        <v>0</v>
      </c>
      <c r="D35" s="28"/>
      <c r="E35" s="28"/>
      <c r="F35" s="28"/>
      <c r="G35" s="28"/>
      <c r="H35" s="28"/>
      <c r="I35" s="28"/>
      <c r="J35" s="28"/>
      <c r="K35" s="28"/>
      <c r="L35" s="28"/>
      <c r="M35" s="28"/>
    </row>
    <row r="36" spans="1:13" s="14" customFormat="1" ht="18.75" customHeight="1">
      <c r="A36" s="1" t="s">
        <v>10</v>
      </c>
      <c r="B36" s="2" t="s">
        <v>78</v>
      </c>
      <c r="C36" s="12">
        <v>88</v>
      </c>
      <c r="D36" s="12">
        <f aca="true" t="shared" si="15" ref="D36:M36">D37+D38+D39</f>
        <v>0</v>
      </c>
      <c r="E36" s="12">
        <f t="shared" si="15"/>
        <v>0</v>
      </c>
      <c r="F36" s="12">
        <f t="shared" si="15"/>
        <v>0</v>
      </c>
      <c r="G36" s="12">
        <f t="shared" si="15"/>
        <v>0</v>
      </c>
      <c r="H36" s="12">
        <f t="shared" si="15"/>
        <v>0</v>
      </c>
      <c r="I36" s="12">
        <f t="shared" si="15"/>
        <v>0</v>
      </c>
      <c r="J36" s="12">
        <f t="shared" si="15"/>
        <v>0</v>
      </c>
      <c r="K36" s="12">
        <f t="shared" si="15"/>
        <v>0</v>
      </c>
      <c r="L36" s="12">
        <f t="shared" si="15"/>
        <v>0</v>
      </c>
      <c r="M36" s="12">
        <f t="shared" si="15"/>
        <v>0</v>
      </c>
    </row>
    <row r="37" spans="1:13" ht="18.75" customHeight="1">
      <c r="A37" s="6" t="s">
        <v>6</v>
      </c>
      <c r="B37" s="5" t="s">
        <v>100</v>
      </c>
      <c r="C37" s="12">
        <f>SUM(D37:M37)</f>
        <v>0</v>
      </c>
      <c r="D37" s="32"/>
      <c r="E37" s="32"/>
      <c r="F37" s="32"/>
      <c r="G37" s="32"/>
      <c r="H37" s="32"/>
      <c r="I37" s="32"/>
      <c r="J37" s="32"/>
      <c r="K37" s="32"/>
      <c r="L37" s="32"/>
      <c r="M37" s="32"/>
    </row>
    <row r="38" spans="1:13" ht="39.75" customHeight="1">
      <c r="A38" s="6" t="s">
        <v>6</v>
      </c>
      <c r="B38" s="5" t="s">
        <v>106</v>
      </c>
      <c r="C38" s="12">
        <f>SUM(D38:M38)</f>
        <v>0</v>
      </c>
      <c r="D38" s="32"/>
      <c r="E38" s="32"/>
      <c r="F38" s="32"/>
      <c r="G38" s="32"/>
      <c r="H38" s="32"/>
      <c r="I38" s="32"/>
      <c r="J38" s="32"/>
      <c r="K38" s="32"/>
      <c r="L38" s="32"/>
      <c r="M38" s="32"/>
    </row>
    <row r="39" spans="1:13" ht="18.75" customHeight="1" hidden="1">
      <c r="A39" s="6"/>
      <c r="B39" s="5"/>
      <c r="C39" s="12"/>
      <c r="D39" s="32"/>
      <c r="E39" s="32"/>
      <c r="F39" s="32"/>
      <c r="G39" s="32"/>
      <c r="H39" s="32"/>
      <c r="I39" s="32"/>
      <c r="J39" s="32"/>
      <c r="K39" s="32"/>
      <c r="L39" s="32"/>
      <c r="M39" s="32"/>
    </row>
    <row r="41" ht="12.75">
      <c r="H41" s="30"/>
    </row>
  </sheetData>
  <sheetProtection/>
  <mergeCells count="20">
    <mergeCell ref="A8:B8"/>
    <mergeCell ref="A2:M2"/>
    <mergeCell ref="A3:M3"/>
    <mergeCell ref="G6:G7"/>
    <mergeCell ref="H6:H7"/>
    <mergeCell ref="M6:M7"/>
    <mergeCell ref="I6:I7"/>
    <mergeCell ref="J6:J7"/>
    <mergeCell ref="K6:K7"/>
    <mergeCell ref="L6:L7"/>
    <mergeCell ref="A1:B1"/>
    <mergeCell ref="A4:K4"/>
    <mergeCell ref="L4:M4"/>
    <mergeCell ref="A5:A7"/>
    <mergeCell ref="B5:B7"/>
    <mergeCell ref="C5:C7"/>
    <mergeCell ref="D5:M5"/>
    <mergeCell ref="D6:D7"/>
    <mergeCell ref="E6:E7"/>
    <mergeCell ref="F6:F7"/>
  </mergeCells>
  <printOptions/>
  <pageMargins left="0.5" right="0.25" top="0.25" bottom="0.25"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theme="3"/>
  </sheetPr>
  <dimension ref="A1:N29"/>
  <sheetViews>
    <sheetView zoomScalePageLayoutView="0" workbookViewId="0" topLeftCell="A1">
      <pane ySplit="7" topLeftCell="A20" activePane="bottomLeft" state="frozen"/>
      <selection pane="topLeft" activeCell="A1" sqref="A1"/>
      <selection pane="bottomLeft" activeCell="I22" sqref="I22"/>
    </sheetView>
  </sheetViews>
  <sheetFormatPr defaultColWidth="9.140625" defaultRowHeight="12.75"/>
  <cols>
    <col min="1" max="1" width="4.7109375" style="17" customWidth="1"/>
    <col min="2" max="2" width="36.7109375" style="20" customWidth="1"/>
    <col min="3" max="3" width="7.7109375" style="17" customWidth="1"/>
    <col min="4" max="4" width="11.7109375" style="18" customWidth="1"/>
    <col min="5" max="13" width="10.7109375" style="18" customWidth="1"/>
    <col min="14" max="14" width="10.00390625" style="18" customWidth="1"/>
    <col min="15" max="16384" width="9.140625" style="18" customWidth="1"/>
  </cols>
  <sheetData>
    <row r="1" spans="1:14" ht="18" customHeight="1">
      <c r="A1" s="137" t="s">
        <v>101</v>
      </c>
      <c r="B1" s="137"/>
      <c r="C1" s="21"/>
      <c r="D1" s="17"/>
      <c r="E1" s="17"/>
      <c r="F1" s="17"/>
      <c r="G1" s="17"/>
      <c r="H1" s="17"/>
      <c r="I1" s="17"/>
      <c r="J1" s="17"/>
      <c r="K1" s="17"/>
      <c r="L1" s="17"/>
      <c r="M1" s="17"/>
      <c r="N1" s="17"/>
    </row>
    <row r="2" spans="1:14" ht="18" customHeight="1">
      <c r="A2" s="139" t="s">
        <v>87</v>
      </c>
      <c r="B2" s="139"/>
      <c r="C2" s="139"/>
      <c r="D2" s="139"/>
      <c r="E2" s="139"/>
      <c r="F2" s="139"/>
      <c r="G2" s="139"/>
      <c r="H2" s="139"/>
      <c r="I2" s="139"/>
      <c r="J2" s="139"/>
      <c r="K2" s="139"/>
      <c r="L2" s="139"/>
      <c r="M2" s="139"/>
      <c r="N2" s="139"/>
    </row>
    <row r="3" spans="1:14" ht="18" customHeight="1">
      <c r="A3" s="139" t="s">
        <v>16</v>
      </c>
      <c r="B3" s="139"/>
      <c r="C3" s="139"/>
      <c r="D3" s="139"/>
      <c r="E3" s="139"/>
      <c r="F3" s="139"/>
      <c r="G3" s="139"/>
      <c r="H3" s="139"/>
      <c r="I3" s="139"/>
      <c r="J3" s="139"/>
      <c r="K3" s="139"/>
      <c r="L3" s="139"/>
      <c r="M3" s="139"/>
      <c r="N3" s="139"/>
    </row>
    <row r="4" spans="1:14" ht="14.25" customHeight="1">
      <c r="A4" s="138"/>
      <c r="B4" s="138"/>
      <c r="C4" s="138"/>
      <c r="D4" s="138"/>
      <c r="E4" s="138"/>
      <c r="F4" s="138"/>
      <c r="G4" s="138"/>
      <c r="H4" s="138"/>
      <c r="I4" s="138"/>
      <c r="J4" s="138"/>
      <c r="K4" s="138"/>
      <c r="L4" s="138"/>
      <c r="M4" s="140"/>
      <c r="N4" s="140"/>
    </row>
    <row r="5" spans="1:14" s="13" customFormat="1" ht="21.75" customHeight="1">
      <c r="A5" s="135" t="s">
        <v>0</v>
      </c>
      <c r="B5" s="135" t="s">
        <v>40</v>
      </c>
      <c r="C5" s="135" t="s">
        <v>37</v>
      </c>
      <c r="D5" s="135" t="s">
        <v>12</v>
      </c>
      <c r="E5" s="135" t="s">
        <v>43</v>
      </c>
      <c r="F5" s="135"/>
      <c r="G5" s="135"/>
      <c r="H5" s="135"/>
      <c r="I5" s="135"/>
      <c r="J5" s="135"/>
      <c r="K5" s="135"/>
      <c r="L5" s="135"/>
      <c r="M5" s="135"/>
      <c r="N5" s="135"/>
    </row>
    <row r="6" spans="1:14" s="13" customFormat="1" ht="21.75" customHeight="1">
      <c r="A6" s="135"/>
      <c r="B6" s="135"/>
      <c r="C6" s="135"/>
      <c r="D6" s="135"/>
      <c r="E6" s="135" t="s">
        <v>42</v>
      </c>
      <c r="F6" s="135" t="s">
        <v>11</v>
      </c>
      <c r="G6" s="135" t="s">
        <v>13</v>
      </c>
      <c r="H6" s="135" t="s">
        <v>2</v>
      </c>
      <c r="I6" s="135" t="s">
        <v>3</v>
      </c>
      <c r="J6" s="135" t="s">
        <v>22</v>
      </c>
      <c r="K6" s="135" t="s">
        <v>23</v>
      </c>
      <c r="L6" s="135" t="s">
        <v>21</v>
      </c>
      <c r="M6" s="135" t="s">
        <v>14</v>
      </c>
      <c r="N6" s="135" t="s">
        <v>20</v>
      </c>
    </row>
    <row r="7" spans="1:14" s="13" customFormat="1" ht="21.75" customHeight="1">
      <c r="A7" s="135"/>
      <c r="B7" s="135"/>
      <c r="C7" s="135"/>
      <c r="D7" s="135"/>
      <c r="E7" s="135"/>
      <c r="F7" s="135"/>
      <c r="G7" s="135"/>
      <c r="H7" s="135"/>
      <c r="I7" s="135"/>
      <c r="J7" s="135"/>
      <c r="K7" s="135"/>
      <c r="L7" s="135"/>
      <c r="M7" s="135"/>
      <c r="N7" s="135"/>
    </row>
    <row r="8" spans="1:14" s="14" customFormat="1" ht="21" customHeight="1">
      <c r="A8" s="1" t="s">
        <v>4</v>
      </c>
      <c r="B8" s="2" t="s">
        <v>43</v>
      </c>
      <c r="C8" s="1"/>
      <c r="D8" s="4"/>
      <c r="E8" s="4"/>
      <c r="F8" s="4"/>
      <c r="G8" s="4"/>
      <c r="H8" s="4"/>
      <c r="I8" s="4"/>
      <c r="J8" s="4"/>
      <c r="K8" s="4"/>
      <c r="L8" s="4"/>
      <c r="M8" s="4"/>
      <c r="N8" s="8"/>
    </row>
    <row r="9" spans="1:14" s="13" customFormat="1" ht="21" customHeight="1">
      <c r="A9" s="1">
        <v>1</v>
      </c>
      <c r="B9" s="2" t="s">
        <v>44</v>
      </c>
      <c r="C9" s="1" t="s">
        <v>45</v>
      </c>
      <c r="D9" s="4">
        <f>D10+D15+D20</f>
        <v>580.6899999999999</v>
      </c>
      <c r="E9" s="4">
        <f aca="true" t="shared" si="0" ref="E9:N9">E10+E15+E20</f>
        <v>0</v>
      </c>
      <c r="F9" s="4">
        <f t="shared" si="0"/>
        <v>94.74000000000001</v>
      </c>
      <c r="G9" s="4">
        <f t="shared" si="0"/>
        <v>119.8</v>
      </c>
      <c r="H9" s="4">
        <f t="shared" si="0"/>
        <v>51.14</v>
      </c>
      <c r="I9" s="4">
        <f t="shared" si="0"/>
        <v>19.67</v>
      </c>
      <c r="J9" s="4">
        <f t="shared" si="0"/>
        <v>189.5</v>
      </c>
      <c r="K9" s="4">
        <f t="shared" si="0"/>
        <v>6.23</v>
      </c>
      <c r="L9" s="4">
        <f t="shared" si="0"/>
        <v>21.200000000000003</v>
      </c>
      <c r="M9" s="4">
        <f t="shared" si="0"/>
        <v>78.41</v>
      </c>
      <c r="N9" s="4">
        <f t="shared" si="0"/>
        <v>0</v>
      </c>
    </row>
    <row r="10" spans="1:14" s="14" customFormat="1" ht="21" customHeight="1">
      <c r="A10" s="1" t="s">
        <v>27</v>
      </c>
      <c r="B10" s="2" t="s">
        <v>19</v>
      </c>
      <c r="C10" s="1" t="s">
        <v>45</v>
      </c>
      <c r="D10" s="36">
        <f aca="true" t="shared" si="1" ref="D10:N10">D11+D12</f>
        <v>402.83</v>
      </c>
      <c r="E10" s="11">
        <f t="shared" si="1"/>
        <v>0</v>
      </c>
      <c r="F10" s="11">
        <f t="shared" si="1"/>
        <v>50</v>
      </c>
      <c r="G10" s="11">
        <f t="shared" si="1"/>
        <v>70</v>
      </c>
      <c r="H10" s="11">
        <f t="shared" si="1"/>
        <v>30</v>
      </c>
      <c r="I10" s="11">
        <f t="shared" si="1"/>
        <v>0</v>
      </c>
      <c r="J10" s="23">
        <f t="shared" si="1"/>
        <v>184.4</v>
      </c>
      <c r="K10" s="36">
        <f t="shared" si="1"/>
        <v>6.23</v>
      </c>
      <c r="L10" s="23">
        <f t="shared" si="1"/>
        <v>12.200000000000001</v>
      </c>
      <c r="M10" s="11">
        <f t="shared" si="1"/>
        <v>50</v>
      </c>
      <c r="N10" s="11">
        <f t="shared" si="1"/>
        <v>0</v>
      </c>
    </row>
    <row r="11" spans="1:14" s="13" customFormat="1" ht="21" customHeight="1">
      <c r="A11" s="6" t="s">
        <v>6</v>
      </c>
      <c r="B11" s="5" t="s">
        <v>108</v>
      </c>
      <c r="C11" s="22" t="s">
        <v>45</v>
      </c>
      <c r="D11" s="27">
        <f>SUM(E11:N11)</f>
        <v>380</v>
      </c>
      <c r="E11" s="27"/>
      <c r="F11" s="27">
        <v>50</v>
      </c>
      <c r="G11" s="27">
        <v>70</v>
      </c>
      <c r="H11" s="27">
        <v>30</v>
      </c>
      <c r="I11" s="27">
        <v>0</v>
      </c>
      <c r="J11" s="27">
        <v>180</v>
      </c>
      <c r="K11" s="27">
        <v>0</v>
      </c>
      <c r="L11" s="27"/>
      <c r="M11" s="27">
        <v>50</v>
      </c>
      <c r="N11" s="27">
        <v>0</v>
      </c>
    </row>
    <row r="12" spans="1:14" s="13" customFormat="1" ht="21" customHeight="1">
      <c r="A12" s="7" t="s">
        <v>6</v>
      </c>
      <c r="B12" s="5" t="s">
        <v>107</v>
      </c>
      <c r="C12" s="22" t="s">
        <v>45</v>
      </c>
      <c r="D12" s="34">
        <f>D13+D14</f>
        <v>22.830000000000002</v>
      </c>
      <c r="E12" s="26">
        <f>E13+E14</f>
        <v>0</v>
      </c>
      <c r="F12" s="26">
        <f aca="true" t="shared" si="2" ref="F12:N12">F13+F14</f>
        <v>0</v>
      </c>
      <c r="G12" s="26">
        <f t="shared" si="2"/>
        <v>0</v>
      </c>
      <c r="H12" s="26">
        <f t="shared" si="2"/>
        <v>0</v>
      </c>
      <c r="I12" s="26">
        <f t="shared" si="2"/>
        <v>0</v>
      </c>
      <c r="J12" s="26">
        <f t="shared" si="2"/>
        <v>4.4</v>
      </c>
      <c r="K12" s="34">
        <f t="shared" si="2"/>
        <v>6.23</v>
      </c>
      <c r="L12" s="26">
        <f t="shared" si="2"/>
        <v>12.200000000000001</v>
      </c>
      <c r="M12" s="26">
        <f t="shared" si="2"/>
        <v>0</v>
      </c>
      <c r="N12" s="26">
        <f t="shared" si="2"/>
        <v>0</v>
      </c>
    </row>
    <row r="13" spans="1:14" s="91" customFormat="1" ht="21" customHeight="1">
      <c r="A13" s="87" t="s">
        <v>109</v>
      </c>
      <c r="B13" s="88" t="s">
        <v>8</v>
      </c>
      <c r="C13" s="22" t="s">
        <v>45</v>
      </c>
      <c r="D13" s="34">
        <f>SUM(E13:N13)</f>
        <v>13.690000000000001</v>
      </c>
      <c r="E13" s="90"/>
      <c r="F13" s="89"/>
      <c r="G13" s="89"/>
      <c r="H13" s="89"/>
      <c r="I13" s="89"/>
      <c r="J13" s="89"/>
      <c r="K13" s="26">
        <v>3</v>
      </c>
      <c r="L13" s="3">
        <f>2.2+8.49</f>
        <v>10.690000000000001</v>
      </c>
      <c r="M13" s="89"/>
      <c r="N13" s="90"/>
    </row>
    <row r="14" spans="1:14" s="91" customFormat="1" ht="21" customHeight="1">
      <c r="A14" s="87" t="s">
        <v>109</v>
      </c>
      <c r="B14" s="88" t="s">
        <v>9</v>
      </c>
      <c r="C14" s="22" t="s">
        <v>45</v>
      </c>
      <c r="D14" s="34">
        <f>SUM(E14:N14)</f>
        <v>9.14</v>
      </c>
      <c r="E14" s="90"/>
      <c r="F14" s="89"/>
      <c r="G14" s="89"/>
      <c r="H14" s="89"/>
      <c r="I14" s="89"/>
      <c r="J14" s="92">
        <v>4.4</v>
      </c>
      <c r="K14" s="34">
        <v>3.23</v>
      </c>
      <c r="L14" s="3">
        <v>1.51</v>
      </c>
      <c r="M14" s="89"/>
      <c r="N14" s="90"/>
    </row>
    <row r="15" spans="1:14" s="14" customFormat="1" ht="21" customHeight="1">
      <c r="A15" s="1" t="s">
        <v>29</v>
      </c>
      <c r="B15" s="2" t="s">
        <v>28</v>
      </c>
      <c r="C15" s="1" t="s">
        <v>45</v>
      </c>
      <c r="D15" s="4">
        <f>SUM(E15:N15)</f>
        <v>114.45</v>
      </c>
      <c r="E15" s="4">
        <f>E16+E17</f>
        <v>0</v>
      </c>
      <c r="F15" s="23">
        <f aca="true" t="shared" si="3" ref="F15:N15">F16+F17</f>
        <v>36.68</v>
      </c>
      <c r="G15" s="11">
        <f t="shared" si="3"/>
        <v>33</v>
      </c>
      <c r="H15" s="4">
        <f t="shared" si="3"/>
        <v>0</v>
      </c>
      <c r="I15" s="4">
        <f t="shared" si="3"/>
        <v>19.67</v>
      </c>
      <c r="J15" s="23">
        <f t="shared" si="3"/>
        <v>5.1</v>
      </c>
      <c r="K15" s="4">
        <f t="shared" si="3"/>
        <v>0</v>
      </c>
      <c r="L15" s="4">
        <f t="shared" si="3"/>
        <v>0</v>
      </c>
      <c r="M15" s="11">
        <f t="shared" si="3"/>
        <v>20</v>
      </c>
      <c r="N15" s="4">
        <f t="shared" si="3"/>
        <v>0</v>
      </c>
    </row>
    <row r="16" spans="1:14" s="13" customFormat="1" ht="21" customHeight="1">
      <c r="A16" s="6" t="s">
        <v>6</v>
      </c>
      <c r="B16" s="5" t="s">
        <v>8</v>
      </c>
      <c r="C16" s="22" t="s">
        <v>45</v>
      </c>
      <c r="D16" s="34">
        <f>SUM(E16:N16)</f>
        <v>97.76</v>
      </c>
      <c r="E16" s="27">
        <f>'2017-Kl'!E20</f>
        <v>0</v>
      </c>
      <c r="F16" s="34">
        <f>'2017-Kl'!F20</f>
        <v>25.09</v>
      </c>
      <c r="G16" s="27">
        <f>'2017-Kl'!G20</f>
        <v>33</v>
      </c>
      <c r="H16" s="27">
        <f>'2017-Kl'!H20</f>
        <v>0</v>
      </c>
      <c r="I16" s="34">
        <v>19.67</v>
      </c>
      <c r="J16" s="27"/>
      <c r="K16" s="27">
        <f>'2017-Kl'!K20</f>
        <v>0</v>
      </c>
      <c r="L16" s="27">
        <f>'2017-Kl'!L20</f>
        <v>0</v>
      </c>
      <c r="M16" s="27">
        <f>'2017-Kl'!M20</f>
        <v>20</v>
      </c>
      <c r="N16" s="27">
        <f>'2017-Kl'!N20</f>
        <v>0</v>
      </c>
    </row>
    <row r="17" spans="1:14" s="13" customFormat="1" ht="21" customHeight="1">
      <c r="A17" s="6" t="s">
        <v>6</v>
      </c>
      <c r="B17" s="5" t="s">
        <v>82</v>
      </c>
      <c r="C17" s="22" t="s">
        <v>45</v>
      </c>
      <c r="D17" s="34">
        <f>D18+D19</f>
        <v>16.689999999999998</v>
      </c>
      <c r="E17" s="34">
        <f>E18+E19</f>
        <v>0</v>
      </c>
      <c r="F17" s="34">
        <f aca="true" t="shared" si="4" ref="F17:N17">F18+F19</f>
        <v>11.59</v>
      </c>
      <c r="G17" s="34">
        <f t="shared" si="4"/>
        <v>0</v>
      </c>
      <c r="H17" s="34">
        <f t="shared" si="4"/>
        <v>0</v>
      </c>
      <c r="I17" s="34">
        <f t="shared" si="4"/>
        <v>0</v>
      </c>
      <c r="J17" s="26">
        <f t="shared" si="4"/>
        <v>5.1</v>
      </c>
      <c r="K17" s="34">
        <f t="shared" si="4"/>
        <v>0</v>
      </c>
      <c r="L17" s="34">
        <f t="shared" si="4"/>
        <v>0</v>
      </c>
      <c r="M17" s="34">
        <f t="shared" si="4"/>
        <v>0</v>
      </c>
      <c r="N17" s="34">
        <f t="shared" si="4"/>
        <v>0</v>
      </c>
    </row>
    <row r="18" spans="1:14" s="13" customFormat="1" ht="21" customHeight="1">
      <c r="A18" s="6" t="s">
        <v>109</v>
      </c>
      <c r="B18" s="5" t="s">
        <v>30</v>
      </c>
      <c r="C18" s="22" t="s">
        <v>45</v>
      </c>
      <c r="D18" s="34">
        <f aca="true" t="shared" si="5" ref="D18:D23">SUM(E18:N18)</f>
        <v>16.689999999999998</v>
      </c>
      <c r="E18" s="3">
        <f>'2017-Kl'!E24</f>
        <v>0</v>
      </c>
      <c r="F18" s="3">
        <f>'2017-Kl'!F24</f>
        <v>11.59</v>
      </c>
      <c r="G18" s="3">
        <f>'2017-Kl'!G24</f>
        <v>0</v>
      </c>
      <c r="H18" s="3">
        <f>'2017-Kl'!H24</f>
        <v>0</v>
      </c>
      <c r="I18" s="3">
        <f>'2017-Kl'!I24</f>
        <v>0</v>
      </c>
      <c r="J18" s="26">
        <f>'2017-Kl'!J24</f>
        <v>5.1</v>
      </c>
      <c r="K18" s="26">
        <f>'2017-Kl'!K24</f>
        <v>0</v>
      </c>
      <c r="L18" s="3">
        <f>'2017-Kl'!L24</f>
        <v>0</v>
      </c>
      <c r="M18" s="3">
        <f>'2017-Kl'!M24</f>
        <v>0</v>
      </c>
      <c r="N18" s="3">
        <f>'2017-Kl'!N24</f>
        <v>0</v>
      </c>
    </row>
    <row r="19" spans="1:14" s="13" customFormat="1" ht="21" customHeight="1">
      <c r="A19" s="6" t="s">
        <v>109</v>
      </c>
      <c r="B19" s="5" t="s">
        <v>33</v>
      </c>
      <c r="C19" s="22" t="s">
        <v>45</v>
      </c>
      <c r="D19" s="3">
        <f t="shared" si="5"/>
        <v>0</v>
      </c>
      <c r="E19" s="3">
        <f>'2017-Kl'!E25</f>
        <v>0</v>
      </c>
      <c r="F19" s="3">
        <f>'2017-Kl'!F25</f>
        <v>0</v>
      </c>
      <c r="G19" s="3">
        <f>'2017-Kl'!G25</f>
        <v>0</v>
      </c>
      <c r="H19" s="3">
        <f>'2017-Kl'!H25</f>
        <v>0</v>
      </c>
      <c r="I19" s="3">
        <f>'2017-Kl'!I25</f>
        <v>0</v>
      </c>
      <c r="J19" s="3">
        <f>'2017-Kl'!J25</f>
        <v>0</v>
      </c>
      <c r="K19" s="3">
        <f>'2017-Kl'!K25</f>
        <v>0</v>
      </c>
      <c r="L19" s="3">
        <f>'2017-Kl'!L25</f>
        <v>0</v>
      </c>
      <c r="M19" s="3">
        <f>'2017-Kl'!M25</f>
        <v>0</v>
      </c>
      <c r="N19" s="3">
        <f>'2017-Kl'!N25</f>
        <v>0</v>
      </c>
    </row>
    <row r="20" spans="1:14" s="14" customFormat="1" ht="21" customHeight="1">
      <c r="A20" s="1" t="s">
        <v>31</v>
      </c>
      <c r="B20" s="2" t="s">
        <v>32</v>
      </c>
      <c r="C20" s="1" t="s">
        <v>45</v>
      </c>
      <c r="D20" s="4">
        <f t="shared" si="5"/>
        <v>63.41</v>
      </c>
      <c r="E20" s="4">
        <f>E21+E22</f>
        <v>0</v>
      </c>
      <c r="F20" s="4">
        <f aca="true" t="shared" si="6" ref="F20:N20">F21+F22</f>
        <v>8.06</v>
      </c>
      <c r="G20" s="23">
        <f t="shared" si="6"/>
        <v>16.8</v>
      </c>
      <c r="H20" s="4">
        <f t="shared" si="6"/>
        <v>21.14</v>
      </c>
      <c r="I20" s="4">
        <f t="shared" si="6"/>
        <v>0</v>
      </c>
      <c r="J20" s="23">
        <f t="shared" si="6"/>
        <v>0</v>
      </c>
      <c r="K20" s="4">
        <f t="shared" si="6"/>
        <v>0</v>
      </c>
      <c r="L20" s="23">
        <f t="shared" si="6"/>
        <v>9</v>
      </c>
      <c r="M20" s="36">
        <f>M21+M22+M23</f>
        <v>8.41</v>
      </c>
      <c r="N20" s="4">
        <f t="shared" si="6"/>
        <v>0</v>
      </c>
    </row>
    <row r="21" spans="1:14" s="13" customFormat="1" ht="21" customHeight="1">
      <c r="A21" s="6" t="s">
        <v>6</v>
      </c>
      <c r="B21" s="5" t="s">
        <v>8</v>
      </c>
      <c r="C21" s="22" t="s">
        <v>45</v>
      </c>
      <c r="D21" s="26">
        <f t="shared" si="5"/>
        <v>59.5</v>
      </c>
      <c r="E21" s="3">
        <f>'2017-Kl'!E11</f>
        <v>0</v>
      </c>
      <c r="F21" s="3">
        <f>'2017-Kl'!F11</f>
        <v>8.06</v>
      </c>
      <c r="G21" s="26">
        <f>'2017-Kl'!G11</f>
        <v>16.8</v>
      </c>
      <c r="H21" s="3">
        <v>18.84</v>
      </c>
      <c r="I21" s="3">
        <f>'2017-Kl'!I11</f>
        <v>0</v>
      </c>
      <c r="J21" s="3">
        <f>'2017-Kl'!J11</f>
        <v>0</v>
      </c>
      <c r="K21" s="3">
        <f>'2017-Kl'!K11</f>
        <v>0</v>
      </c>
      <c r="L21" s="26">
        <f>'2017-Kl'!L11</f>
        <v>9</v>
      </c>
      <c r="M21" s="26">
        <f>'2017-Kl'!M11</f>
        <v>6.8</v>
      </c>
      <c r="N21" s="3">
        <f>'2017-Kl'!N11</f>
        <v>0</v>
      </c>
    </row>
    <row r="22" spans="1:14" s="13" customFormat="1" ht="21" customHeight="1">
      <c r="A22" s="6" t="s">
        <v>6</v>
      </c>
      <c r="B22" s="5" t="s">
        <v>30</v>
      </c>
      <c r="C22" s="22" t="s">
        <v>45</v>
      </c>
      <c r="D22" s="26">
        <f t="shared" si="5"/>
        <v>2.3</v>
      </c>
      <c r="E22" s="3">
        <f>'2017-Kl'!E12</f>
        <v>0</v>
      </c>
      <c r="F22" s="3">
        <f>'2017-Kl'!F12</f>
        <v>0</v>
      </c>
      <c r="G22" s="3">
        <f>'2017-Kl'!G12</f>
        <v>0</v>
      </c>
      <c r="H22" s="26">
        <f>'2017-Kl'!H12</f>
        <v>2.3</v>
      </c>
      <c r="I22" s="3">
        <f>'2017-Kl'!I12</f>
        <v>0</v>
      </c>
      <c r="J22" s="3">
        <f>'2017-Kl'!J12</f>
        <v>0</v>
      </c>
      <c r="K22" s="3">
        <f>'2017-Kl'!K12</f>
        <v>0</v>
      </c>
      <c r="L22" s="3">
        <f>'2017-Kl'!L12</f>
        <v>0</v>
      </c>
      <c r="M22" s="3">
        <f>'2017-Kl'!M12</f>
        <v>0</v>
      </c>
      <c r="N22" s="3">
        <f>'2017-Kl'!N12</f>
        <v>0</v>
      </c>
    </row>
    <row r="23" spans="1:14" s="13" customFormat="1" ht="21" customHeight="1">
      <c r="A23" s="6" t="s">
        <v>6</v>
      </c>
      <c r="B23" s="5" t="s">
        <v>33</v>
      </c>
      <c r="C23" s="22" t="s">
        <v>45</v>
      </c>
      <c r="D23" s="3">
        <f t="shared" si="5"/>
        <v>1.61</v>
      </c>
      <c r="E23" s="3">
        <f>'2017-Kl'!E13</f>
        <v>0</v>
      </c>
      <c r="F23" s="3">
        <f>'2017-Kl'!F13</f>
        <v>0</v>
      </c>
      <c r="G23" s="3">
        <f>'2017-Kl'!G13</f>
        <v>0</v>
      </c>
      <c r="H23" s="3">
        <f>'2017-Kl'!H13</f>
        <v>0</v>
      </c>
      <c r="I23" s="3">
        <f>'2017-Kl'!I13</f>
        <v>0</v>
      </c>
      <c r="J23" s="3">
        <f>'2017-Kl'!J13</f>
        <v>0</v>
      </c>
      <c r="K23" s="3">
        <f>'2017-Kl'!K13</f>
        <v>0</v>
      </c>
      <c r="L23" s="3">
        <f>'2017-Kl'!L13</f>
        <v>0</v>
      </c>
      <c r="M23" s="3">
        <f>'2017-Kl'!M13</f>
        <v>1.61</v>
      </c>
      <c r="N23" s="3">
        <f>'2017-Kl'!N13</f>
        <v>0</v>
      </c>
    </row>
    <row r="24" spans="1:14" s="14" customFormat="1" ht="21" customHeight="1">
      <c r="A24" s="1">
        <v>2</v>
      </c>
      <c r="B24" s="2" t="s">
        <v>34</v>
      </c>
      <c r="C24" s="1" t="s">
        <v>45</v>
      </c>
      <c r="D24" s="36">
        <f aca="true" t="shared" si="7" ref="D24:N24">D25+D26</f>
        <v>230</v>
      </c>
      <c r="E24" s="11">
        <f t="shared" si="7"/>
        <v>0</v>
      </c>
      <c r="F24" s="11">
        <f t="shared" si="7"/>
        <v>50</v>
      </c>
      <c r="G24" s="11">
        <f t="shared" si="7"/>
        <v>50</v>
      </c>
      <c r="H24" s="11">
        <f t="shared" si="7"/>
        <v>30</v>
      </c>
      <c r="I24" s="11">
        <f t="shared" si="7"/>
        <v>0</v>
      </c>
      <c r="J24" s="23">
        <f t="shared" si="7"/>
        <v>50</v>
      </c>
      <c r="K24" s="36">
        <f t="shared" si="7"/>
        <v>0</v>
      </c>
      <c r="L24" s="23">
        <f t="shared" si="7"/>
        <v>0</v>
      </c>
      <c r="M24" s="11">
        <f t="shared" si="7"/>
        <v>50</v>
      </c>
      <c r="N24" s="11">
        <f t="shared" si="7"/>
        <v>0</v>
      </c>
    </row>
    <row r="25" spans="1:14" s="13" customFormat="1" ht="21" customHeight="1">
      <c r="A25" s="6" t="s">
        <v>6</v>
      </c>
      <c r="B25" s="5" t="s">
        <v>108</v>
      </c>
      <c r="C25" s="22" t="s">
        <v>45</v>
      </c>
      <c r="D25" s="27">
        <f>SUM(E25:N25)</f>
        <v>230</v>
      </c>
      <c r="E25" s="27"/>
      <c r="F25" s="27">
        <v>50</v>
      </c>
      <c r="G25" s="27">
        <v>50</v>
      </c>
      <c r="H25" s="27">
        <v>30</v>
      </c>
      <c r="I25" s="27">
        <v>0</v>
      </c>
      <c r="J25" s="27">
        <v>50</v>
      </c>
      <c r="K25" s="27">
        <v>0</v>
      </c>
      <c r="L25" s="27"/>
      <c r="M25" s="27">
        <v>50</v>
      </c>
      <c r="N25" s="27">
        <v>0</v>
      </c>
    </row>
    <row r="26" spans="1:14" s="13" customFormat="1" ht="21" customHeight="1">
      <c r="A26" s="7" t="s">
        <v>6</v>
      </c>
      <c r="B26" s="5" t="s">
        <v>107</v>
      </c>
      <c r="C26" s="22" t="s">
        <v>45</v>
      </c>
      <c r="D26" s="34">
        <f aca="true" t="shared" si="8" ref="D26:I26">D27+D28</f>
        <v>0</v>
      </c>
      <c r="E26" s="26">
        <f t="shared" si="8"/>
        <v>0</v>
      </c>
      <c r="F26" s="26">
        <f t="shared" si="8"/>
        <v>0</v>
      </c>
      <c r="G26" s="26">
        <f t="shared" si="8"/>
        <v>0</v>
      </c>
      <c r="H26" s="26">
        <f t="shared" si="8"/>
        <v>0</v>
      </c>
      <c r="I26" s="26">
        <f t="shared" si="8"/>
        <v>0</v>
      </c>
      <c r="J26" s="26"/>
      <c r="K26" s="34"/>
      <c r="L26" s="26"/>
      <c r="M26" s="26">
        <f>M27+M28</f>
        <v>0</v>
      </c>
      <c r="N26" s="26">
        <f>N27+N28</f>
        <v>0</v>
      </c>
    </row>
    <row r="27" spans="1:14" s="91" customFormat="1" ht="21" customHeight="1">
      <c r="A27" s="87" t="s">
        <v>109</v>
      </c>
      <c r="B27" s="88" t="s">
        <v>8</v>
      </c>
      <c r="C27" s="22" t="s">
        <v>45</v>
      </c>
      <c r="D27" s="34">
        <f>SUM(E27:N27)</f>
        <v>0</v>
      </c>
      <c r="E27" s="90"/>
      <c r="F27" s="89"/>
      <c r="G27" s="89"/>
      <c r="H27" s="89"/>
      <c r="I27" s="89"/>
      <c r="J27" s="89"/>
      <c r="K27" s="26"/>
      <c r="L27" s="3"/>
      <c r="M27" s="89"/>
      <c r="N27" s="90"/>
    </row>
    <row r="28" spans="1:14" s="91" customFormat="1" ht="21" customHeight="1">
      <c r="A28" s="87" t="s">
        <v>109</v>
      </c>
      <c r="B28" s="88" t="s">
        <v>9</v>
      </c>
      <c r="C28" s="22" t="s">
        <v>45</v>
      </c>
      <c r="D28" s="34">
        <f>SUM(E28:N28)</f>
        <v>0</v>
      </c>
      <c r="E28" s="90"/>
      <c r="F28" s="89"/>
      <c r="G28" s="89"/>
      <c r="H28" s="89"/>
      <c r="I28" s="89"/>
      <c r="J28" s="92"/>
      <c r="K28" s="34"/>
      <c r="L28" s="3"/>
      <c r="M28" s="89"/>
      <c r="N28" s="90"/>
    </row>
    <row r="29" spans="1:14" s="14" customFormat="1" ht="19.5" customHeight="1">
      <c r="A29" s="1" t="s">
        <v>10</v>
      </c>
      <c r="B29" s="2" t="s">
        <v>78</v>
      </c>
      <c r="C29" s="1" t="s">
        <v>38</v>
      </c>
      <c r="D29" s="11">
        <f>SUM(E29:N29)</f>
        <v>0</v>
      </c>
      <c r="E29" s="11">
        <f>SUM(F29:O29)</f>
        <v>0</v>
      </c>
      <c r="F29" s="11">
        <f aca="true" t="shared" si="9" ref="F29:N29">SUM(G29:O29)</f>
        <v>0</v>
      </c>
      <c r="G29" s="11">
        <f t="shared" si="9"/>
        <v>0</v>
      </c>
      <c r="H29" s="11">
        <f t="shared" si="9"/>
        <v>0</v>
      </c>
      <c r="I29" s="11">
        <f t="shared" si="9"/>
        <v>0</v>
      </c>
      <c r="J29" s="11">
        <f t="shared" si="9"/>
        <v>0</v>
      </c>
      <c r="K29" s="11">
        <f t="shared" si="9"/>
        <v>0</v>
      </c>
      <c r="L29" s="11">
        <f t="shared" si="9"/>
        <v>0</v>
      </c>
      <c r="M29" s="11">
        <f t="shared" si="9"/>
        <v>0</v>
      </c>
      <c r="N29" s="11">
        <f t="shared" si="9"/>
        <v>0</v>
      </c>
    </row>
  </sheetData>
  <sheetProtection/>
  <mergeCells count="20">
    <mergeCell ref="A1:B1"/>
    <mergeCell ref="A2:N2"/>
    <mergeCell ref="A3:N3"/>
    <mergeCell ref="A4:L4"/>
    <mergeCell ref="M4:N4"/>
    <mergeCell ref="A5:A7"/>
    <mergeCell ref="B5:B7"/>
    <mergeCell ref="C5:C7"/>
    <mergeCell ref="D5:D7"/>
    <mergeCell ref="E5:N5"/>
    <mergeCell ref="K6:K7"/>
    <mergeCell ref="L6:L7"/>
    <mergeCell ref="M6:M7"/>
    <mergeCell ref="N6:N7"/>
    <mergeCell ref="E6:E7"/>
    <mergeCell ref="F6:F7"/>
    <mergeCell ref="G6:G7"/>
    <mergeCell ref="H6:H7"/>
    <mergeCell ref="I6:I7"/>
    <mergeCell ref="J6:J7"/>
  </mergeCells>
  <printOptions/>
  <pageMargins left="0.5" right="0.25" top="0.5" bottom="0.25" header="0" footer="0"/>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theme="3"/>
  </sheetPr>
  <dimension ref="A1:N33"/>
  <sheetViews>
    <sheetView zoomScalePageLayoutView="0" workbookViewId="0" topLeftCell="A1">
      <pane ySplit="7" topLeftCell="A8" activePane="bottomLeft" state="frozen"/>
      <selection pane="topLeft" activeCell="A1" sqref="A1"/>
      <selection pane="bottomLeft" activeCell="D8" sqref="D8"/>
    </sheetView>
  </sheetViews>
  <sheetFormatPr defaultColWidth="9.140625" defaultRowHeight="12.75"/>
  <cols>
    <col min="1" max="1" width="4.7109375" style="17" customWidth="1"/>
    <col min="2" max="2" width="36.7109375" style="20" customWidth="1"/>
    <col min="3" max="3" width="7.7109375" style="17" hidden="1" customWidth="1"/>
    <col min="4" max="4" width="11.7109375" style="18" customWidth="1"/>
    <col min="5" max="13" width="10.7109375" style="18" customWidth="1"/>
    <col min="14" max="14" width="8.7109375" style="18" customWidth="1"/>
    <col min="15" max="16384" width="9.140625" style="18" customWidth="1"/>
  </cols>
  <sheetData>
    <row r="1" spans="1:14" ht="18" customHeight="1">
      <c r="A1" s="137" t="s">
        <v>101</v>
      </c>
      <c r="B1" s="137"/>
      <c r="C1" s="21"/>
      <c r="D1" s="17"/>
      <c r="E1" s="17"/>
      <c r="F1" s="17"/>
      <c r="G1" s="17"/>
      <c r="H1" s="17"/>
      <c r="I1" s="17"/>
      <c r="J1" s="17"/>
      <c r="K1" s="17"/>
      <c r="L1" s="17"/>
      <c r="M1" s="17"/>
      <c r="N1" s="17"/>
    </row>
    <row r="2" spans="1:14" ht="18" customHeight="1">
      <c r="A2" s="139" t="s">
        <v>87</v>
      </c>
      <c r="B2" s="139"/>
      <c r="C2" s="139"/>
      <c r="D2" s="139"/>
      <c r="E2" s="139"/>
      <c r="F2" s="139"/>
      <c r="G2" s="139"/>
      <c r="H2" s="139"/>
      <c r="I2" s="139"/>
      <c r="J2" s="139"/>
      <c r="K2" s="139"/>
      <c r="L2" s="139"/>
      <c r="M2" s="139"/>
      <c r="N2" s="139"/>
    </row>
    <row r="3" spans="1:14" ht="18" customHeight="1">
      <c r="A3" s="139" t="s">
        <v>16</v>
      </c>
      <c r="B3" s="139"/>
      <c r="C3" s="139"/>
      <c r="D3" s="139"/>
      <c r="E3" s="139"/>
      <c r="F3" s="139"/>
      <c r="G3" s="139"/>
      <c r="H3" s="139"/>
      <c r="I3" s="139"/>
      <c r="J3" s="139"/>
      <c r="K3" s="139"/>
      <c r="L3" s="139"/>
      <c r="M3" s="139"/>
      <c r="N3" s="139"/>
    </row>
    <row r="4" spans="1:14" ht="14.25" customHeight="1">
      <c r="A4" s="138"/>
      <c r="B4" s="138"/>
      <c r="C4" s="138"/>
      <c r="D4" s="138"/>
      <c r="E4" s="138"/>
      <c r="F4" s="138"/>
      <c r="G4" s="138"/>
      <c r="H4" s="138"/>
      <c r="I4" s="138"/>
      <c r="J4" s="138"/>
      <c r="K4" s="138"/>
      <c r="L4" s="138"/>
      <c r="M4" s="140"/>
      <c r="N4" s="140"/>
    </row>
    <row r="5" spans="1:14" s="13" customFormat="1" ht="21.75" customHeight="1">
      <c r="A5" s="135" t="s">
        <v>0</v>
      </c>
      <c r="B5" s="135" t="s">
        <v>40</v>
      </c>
      <c r="C5" s="135"/>
      <c r="D5" s="135" t="s">
        <v>12</v>
      </c>
      <c r="E5" s="135" t="s">
        <v>43</v>
      </c>
      <c r="F5" s="135"/>
      <c r="G5" s="135"/>
      <c r="H5" s="135"/>
      <c r="I5" s="135"/>
      <c r="J5" s="135"/>
      <c r="K5" s="135"/>
      <c r="L5" s="135"/>
      <c r="M5" s="135"/>
      <c r="N5" s="135"/>
    </row>
    <row r="6" spans="1:14" s="13" customFormat="1" ht="21.75" customHeight="1">
      <c r="A6" s="135"/>
      <c r="B6" s="135"/>
      <c r="C6" s="135"/>
      <c r="D6" s="135"/>
      <c r="E6" s="135" t="s">
        <v>42</v>
      </c>
      <c r="F6" s="135" t="s">
        <v>11</v>
      </c>
      <c r="G6" s="135" t="s">
        <v>13</v>
      </c>
      <c r="H6" s="135" t="s">
        <v>2</v>
      </c>
      <c r="I6" s="135" t="s">
        <v>3</v>
      </c>
      <c r="J6" s="135" t="s">
        <v>22</v>
      </c>
      <c r="K6" s="135" t="s">
        <v>23</v>
      </c>
      <c r="L6" s="135" t="s">
        <v>21</v>
      </c>
      <c r="M6" s="135" t="s">
        <v>14</v>
      </c>
      <c r="N6" s="135" t="s">
        <v>20</v>
      </c>
    </row>
    <row r="7" spans="1:14" s="13" customFormat="1" ht="21.75" customHeight="1">
      <c r="A7" s="135"/>
      <c r="B7" s="135"/>
      <c r="C7" s="135"/>
      <c r="D7" s="135"/>
      <c r="E7" s="135"/>
      <c r="F7" s="135"/>
      <c r="G7" s="135"/>
      <c r="H7" s="135"/>
      <c r="I7" s="135"/>
      <c r="J7" s="135"/>
      <c r="K7" s="135"/>
      <c r="L7" s="135"/>
      <c r="M7" s="135"/>
      <c r="N7" s="135"/>
    </row>
    <row r="8" spans="1:14" s="13" customFormat="1" ht="21.75" customHeight="1">
      <c r="A8" s="145" t="s">
        <v>58</v>
      </c>
      <c r="B8" s="146"/>
      <c r="C8" s="1"/>
      <c r="D8" s="93">
        <f>D9+D33</f>
        <v>13793.76869</v>
      </c>
      <c r="E8" s="93">
        <f aca="true" t="shared" si="0" ref="E8:N8">E9+E33</f>
        <v>0</v>
      </c>
      <c r="F8" s="93">
        <f t="shared" si="0"/>
        <v>2652.7389000000003</v>
      </c>
      <c r="G8" s="93">
        <f t="shared" si="0"/>
        <v>2893.11</v>
      </c>
      <c r="H8" s="93">
        <f t="shared" si="0"/>
        <v>1384.2755</v>
      </c>
      <c r="I8" s="93">
        <f t="shared" si="0"/>
        <v>222.8611</v>
      </c>
      <c r="J8" s="93">
        <f t="shared" si="0"/>
        <v>3969.4806</v>
      </c>
      <c r="K8" s="93">
        <f t="shared" si="0"/>
        <v>44.922419999999995</v>
      </c>
      <c r="L8" s="93">
        <f t="shared" si="0"/>
        <v>164.70936</v>
      </c>
      <c r="M8" s="93">
        <f t="shared" si="0"/>
        <v>2461.67081</v>
      </c>
      <c r="N8" s="93">
        <f t="shared" si="0"/>
        <v>0</v>
      </c>
    </row>
    <row r="9" spans="1:14" s="14" customFormat="1" ht="21" customHeight="1">
      <c r="A9" s="1" t="s">
        <v>4</v>
      </c>
      <c r="B9" s="2" t="s">
        <v>43</v>
      </c>
      <c r="C9" s="1"/>
      <c r="D9" s="4">
        <f>D10+D25+D30</f>
        <v>13793.76869</v>
      </c>
      <c r="E9" s="4">
        <f aca="true" t="shared" si="1" ref="E9:N9">E10+E25+E30</f>
        <v>0</v>
      </c>
      <c r="F9" s="4">
        <f t="shared" si="1"/>
        <v>2652.7389000000003</v>
      </c>
      <c r="G9" s="4">
        <f t="shared" si="1"/>
        <v>2893.11</v>
      </c>
      <c r="H9" s="4">
        <f t="shared" si="1"/>
        <v>1384.2755</v>
      </c>
      <c r="I9" s="4">
        <f t="shared" si="1"/>
        <v>222.8611</v>
      </c>
      <c r="J9" s="4">
        <f t="shared" si="1"/>
        <v>3969.4806</v>
      </c>
      <c r="K9" s="4">
        <f t="shared" si="1"/>
        <v>44.922419999999995</v>
      </c>
      <c r="L9" s="4">
        <f t="shared" si="1"/>
        <v>164.70936</v>
      </c>
      <c r="M9" s="4">
        <f t="shared" si="1"/>
        <v>2461.67081</v>
      </c>
      <c r="N9" s="4">
        <f t="shared" si="1"/>
        <v>0</v>
      </c>
    </row>
    <row r="10" spans="1:14" s="13" customFormat="1" ht="21" customHeight="1">
      <c r="A10" s="1">
        <v>1</v>
      </c>
      <c r="B10" s="2" t="s">
        <v>44</v>
      </c>
      <c r="C10" s="1"/>
      <c r="D10" s="4">
        <f>D11+D16+D21</f>
        <v>6391.523</v>
      </c>
      <c r="E10" s="4">
        <f aca="true" t="shared" si="2" ref="E10:N10">E11+E16+E21</f>
        <v>0</v>
      </c>
      <c r="F10" s="4">
        <f>F11+F16+F21</f>
        <v>1053.63</v>
      </c>
      <c r="G10" s="4">
        <f t="shared" si="2"/>
        <v>1287</v>
      </c>
      <c r="H10" s="4">
        <f t="shared" si="2"/>
        <v>430.85</v>
      </c>
      <c r="I10" s="4">
        <f t="shared" si="2"/>
        <v>216.37</v>
      </c>
      <c r="J10" s="4">
        <f t="shared" si="2"/>
        <v>2332.02</v>
      </c>
      <c r="K10" s="4">
        <f t="shared" si="2"/>
        <v>43.614</v>
      </c>
      <c r="L10" s="4">
        <f t="shared" si="2"/>
        <v>159.912</v>
      </c>
      <c r="M10" s="4">
        <f t="shared" si="2"/>
        <v>868.127</v>
      </c>
      <c r="N10" s="4">
        <f t="shared" si="2"/>
        <v>0</v>
      </c>
    </row>
    <row r="11" spans="1:14" s="14" customFormat="1" ht="21" customHeight="1">
      <c r="A11" s="1" t="s">
        <v>27</v>
      </c>
      <c r="B11" s="2" t="s">
        <v>110</v>
      </c>
      <c r="C11" s="1"/>
      <c r="D11" s="36">
        <f aca="true" t="shared" si="3" ref="D11:N11">D12+D13</f>
        <v>4976.946</v>
      </c>
      <c r="E11" s="11">
        <f t="shared" si="3"/>
        <v>0</v>
      </c>
      <c r="F11" s="11">
        <f t="shared" si="3"/>
        <v>630</v>
      </c>
      <c r="G11" s="11">
        <f t="shared" si="3"/>
        <v>882</v>
      </c>
      <c r="H11" s="11">
        <f t="shared" si="3"/>
        <v>378</v>
      </c>
      <c r="I11" s="11">
        <f t="shared" si="3"/>
        <v>0</v>
      </c>
      <c r="J11" s="23">
        <f t="shared" si="3"/>
        <v>2275.92</v>
      </c>
      <c r="K11" s="36">
        <f t="shared" si="3"/>
        <v>43.614</v>
      </c>
      <c r="L11" s="23">
        <f t="shared" si="3"/>
        <v>137.412</v>
      </c>
      <c r="M11" s="11">
        <f t="shared" si="3"/>
        <v>630</v>
      </c>
      <c r="N11" s="11">
        <f t="shared" si="3"/>
        <v>0</v>
      </c>
    </row>
    <row r="12" spans="1:14" s="13" customFormat="1" ht="21" customHeight="1">
      <c r="A12" s="6" t="s">
        <v>6</v>
      </c>
      <c r="B12" s="5" t="s">
        <v>108</v>
      </c>
      <c r="C12" s="22"/>
      <c r="D12" s="27">
        <f>SUM(E12:N12)</f>
        <v>4788</v>
      </c>
      <c r="E12" s="27">
        <f>'2019-KL'!E11*12.6</f>
        <v>0</v>
      </c>
      <c r="F12" s="27">
        <f>'2019-KL'!F11*12.6</f>
        <v>630</v>
      </c>
      <c r="G12" s="27">
        <f>'2019-KL'!G11*12.6</f>
        <v>882</v>
      </c>
      <c r="H12" s="27">
        <f>'2019-KL'!H11*12.6</f>
        <v>378</v>
      </c>
      <c r="I12" s="27">
        <f>'2019-KL'!I11*12.6</f>
        <v>0</v>
      </c>
      <c r="J12" s="27">
        <f>'2019-KL'!J11*12.6</f>
        <v>2268</v>
      </c>
      <c r="K12" s="27">
        <f>'2019-KL'!K11*12.6</f>
        <v>0</v>
      </c>
      <c r="L12" s="27">
        <f>'2019-KL'!L11*12.6</f>
        <v>0</v>
      </c>
      <c r="M12" s="27">
        <f>'2019-KL'!M11*12.6</f>
        <v>630</v>
      </c>
      <c r="N12" s="27">
        <f>'2019-KL'!N11*12.6</f>
        <v>0</v>
      </c>
    </row>
    <row r="13" spans="1:14" s="13" customFormat="1" ht="21" customHeight="1">
      <c r="A13" s="7" t="s">
        <v>6</v>
      </c>
      <c r="B13" s="5" t="s">
        <v>107</v>
      </c>
      <c r="C13" s="22"/>
      <c r="D13" s="34">
        <f>D14+D15</f>
        <v>188.94600000000003</v>
      </c>
      <c r="E13" s="26">
        <f>E14+E15</f>
        <v>0</v>
      </c>
      <c r="F13" s="26">
        <f aca="true" t="shared" si="4" ref="F13:N13">F14+F15</f>
        <v>0</v>
      </c>
      <c r="G13" s="26">
        <f t="shared" si="4"/>
        <v>0</v>
      </c>
      <c r="H13" s="26">
        <f t="shared" si="4"/>
        <v>0</v>
      </c>
      <c r="I13" s="26">
        <f t="shared" si="4"/>
        <v>0</v>
      </c>
      <c r="J13" s="26">
        <f t="shared" si="4"/>
        <v>7.920000000000001</v>
      </c>
      <c r="K13" s="34">
        <f t="shared" si="4"/>
        <v>43.614</v>
      </c>
      <c r="L13" s="26">
        <f t="shared" si="4"/>
        <v>137.412</v>
      </c>
      <c r="M13" s="26">
        <f t="shared" si="4"/>
        <v>0</v>
      </c>
      <c r="N13" s="26">
        <f t="shared" si="4"/>
        <v>0</v>
      </c>
    </row>
    <row r="14" spans="1:14" s="91" customFormat="1" ht="21" customHeight="1">
      <c r="A14" s="87" t="s">
        <v>109</v>
      </c>
      <c r="B14" s="88" t="s">
        <v>8</v>
      </c>
      <c r="C14" s="22"/>
      <c r="D14" s="34">
        <f>SUM(E14:N14)</f>
        <v>172.49400000000003</v>
      </c>
      <c r="E14" s="90">
        <f>'2019-KL'!E13*12.6</f>
        <v>0</v>
      </c>
      <c r="F14" s="90">
        <f>'2019-KL'!F13*12.6</f>
        <v>0</v>
      </c>
      <c r="G14" s="90">
        <f>'2019-KL'!G13*12.6</f>
        <v>0</v>
      </c>
      <c r="H14" s="90">
        <f>'2019-KL'!H13*12.6</f>
        <v>0</v>
      </c>
      <c r="I14" s="90">
        <f>'2019-KL'!I13*12.6</f>
        <v>0</v>
      </c>
      <c r="J14" s="90">
        <f>'2019-KL'!J13*12.6</f>
        <v>0</v>
      </c>
      <c r="K14" s="90">
        <f>'2019-KL'!K13*12.6</f>
        <v>37.8</v>
      </c>
      <c r="L14" s="90">
        <f>'2019-KL'!L13*12.6</f>
        <v>134.69400000000002</v>
      </c>
      <c r="M14" s="90">
        <f>'2019-KL'!M13*12.6</f>
        <v>0</v>
      </c>
      <c r="N14" s="90">
        <f>'2019-KL'!N13*12.6</f>
        <v>0</v>
      </c>
    </row>
    <row r="15" spans="1:14" s="91" customFormat="1" ht="21" customHeight="1">
      <c r="A15" s="87" t="s">
        <v>109</v>
      </c>
      <c r="B15" s="88" t="s">
        <v>9</v>
      </c>
      <c r="C15" s="22"/>
      <c r="D15" s="34">
        <f>SUM(E15:N15)</f>
        <v>16.452</v>
      </c>
      <c r="E15" s="90">
        <f>'2019-KL'!E14*1.8</f>
        <v>0</v>
      </c>
      <c r="F15" s="90">
        <f>'2019-KL'!F14*1.8</f>
        <v>0</v>
      </c>
      <c r="G15" s="90">
        <f>'2019-KL'!G14*1.8</f>
        <v>0</v>
      </c>
      <c r="H15" s="90">
        <f>'2019-KL'!H14*1.8</f>
        <v>0</v>
      </c>
      <c r="I15" s="90">
        <f>'2019-KL'!I14*1.8</f>
        <v>0</v>
      </c>
      <c r="J15" s="90">
        <f>'2019-KL'!J14*1.8</f>
        <v>7.920000000000001</v>
      </c>
      <c r="K15" s="90">
        <f>'2019-KL'!K14*1.8</f>
        <v>5.814</v>
      </c>
      <c r="L15" s="90">
        <f>'2019-KL'!L14*1.8</f>
        <v>2.718</v>
      </c>
      <c r="M15" s="90">
        <f>'2019-KL'!M14*1.8</f>
        <v>0</v>
      </c>
      <c r="N15" s="90">
        <f>'2019-KL'!N14*1.8</f>
        <v>0</v>
      </c>
    </row>
    <row r="16" spans="1:14" s="14" customFormat="1" ht="21" customHeight="1">
      <c r="A16" s="1" t="s">
        <v>29</v>
      </c>
      <c r="B16" s="2" t="s">
        <v>28</v>
      </c>
      <c r="C16" s="1"/>
      <c r="D16" s="4">
        <f>SUM(E16:N16)</f>
        <v>1258.95</v>
      </c>
      <c r="E16" s="4">
        <f>E17+E18</f>
        <v>0</v>
      </c>
      <c r="F16" s="23">
        <f aca="true" t="shared" si="5" ref="F16:N16">F17+F18</f>
        <v>403.48</v>
      </c>
      <c r="G16" s="11">
        <f t="shared" si="5"/>
        <v>363</v>
      </c>
      <c r="H16" s="4">
        <f t="shared" si="5"/>
        <v>0</v>
      </c>
      <c r="I16" s="4">
        <f t="shared" si="5"/>
        <v>216.37</v>
      </c>
      <c r="J16" s="23">
        <f t="shared" si="5"/>
        <v>56.099999999999994</v>
      </c>
      <c r="K16" s="4">
        <f t="shared" si="5"/>
        <v>0</v>
      </c>
      <c r="L16" s="4">
        <f t="shared" si="5"/>
        <v>0</v>
      </c>
      <c r="M16" s="11">
        <f t="shared" si="5"/>
        <v>220</v>
      </c>
      <c r="N16" s="4">
        <f t="shared" si="5"/>
        <v>0</v>
      </c>
    </row>
    <row r="17" spans="1:14" s="13" customFormat="1" ht="21" customHeight="1">
      <c r="A17" s="6" t="s">
        <v>6</v>
      </c>
      <c r="B17" s="5" t="s">
        <v>8</v>
      </c>
      <c r="C17" s="22"/>
      <c r="D17" s="34">
        <f>SUM(E17:N17)</f>
        <v>1075.3600000000001</v>
      </c>
      <c r="E17" s="34">
        <f>'2019-KL'!E16*11</f>
        <v>0</v>
      </c>
      <c r="F17" s="34">
        <f>'2019-KL'!F16*11</f>
        <v>275.99</v>
      </c>
      <c r="G17" s="34">
        <f>'2019-KL'!G16*11</f>
        <v>363</v>
      </c>
      <c r="H17" s="34">
        <f>'2019-KL'!H16*11</f>
        <v>0</v>
      </c>
      <c r="I17" s="34">
        <f>'2019-KL'!I16*11</f>
        <v>216.37</v>
      </c>
      <c r="J17" s="34">
        <f>'2019-KL'!J16*11</f>
        <v>0</v>
      </c>
      <c r="K17" s="34">
        <f>'2019-KL'!K16*11</f>
        <v>0</v>
      </c>
      <c r="L17" s="34">
        <f>'2019-KL'!L16*11</f>
        <v>0</v>
      </c>
      <c r="M17" s="34">
        <f>'2019-KL'!M16*11</f>
        <v>220</v>
      </c>
      <c r="N17" s="34">
        <f>'2019-KL'!N16*11</f>
        <v>0</v>
      </c>
    </row>
    <row r="18" spans="1:14" s="13" customFormat="1" ht="21" customHeight="1">
      <c r="A18" s="6" t="s">
        <v>6</v>
      </c>
      <c r="B18" s="5" t="s">
        <v>82</v>
      </c>
      <c r="C18" s="22"/>
      <c r="D18" s="34">
        <f>D19+D20</f>
        <v>183.58999999999997</v>
      </c>
      <c r="E18" s="34">
        <f>E19+E20</f>
        <v>0</v>
      </c>
      <c r="F18" s="34">
        <f aca="true" t="shared" si="6" ref="F18:N18">F19+F20</f>
        <v>127.49</v>
      </c>
      <c r="G18" s="34">
        <f t="shared" si="6"/>
        <v>0</v>
      </c>
      <c r="H18" s="34">
        <f t="shared" si="6"/>
        <v>0</v>
      </c>
      <c r="I18" s="34">
        <f t="shared" si="6"/>
        <v>0</v>
      </c>
      <c r="J18" s="26">
        <f t="shared" si="6"/>
        <v>56.099999999999994</v>
      </c>
      <c r="K18" s="34">
        <f t="shared" si="6"/>
        <v>0</v>
      </c>
      <c r="L18" s="34">
        <f t="shared" si="6"/>
        <v>0</v>
      </c>
      <c r="M18" s="34">
        <f t="shared" si="6"/>
        <v>0</v>
      </c>
      <c r="N18" s="34">
        <f t="shared" si="6"/>
        <v>0</v>
      </c>
    </row>
    <row r="19" spans="1:14" s="13" customFormat="1" ht="21" customHeight="1">
      <c r="A19" s="6" t="s">
        <v>109</v>
      </c>
      <c r="B19" s="5" t="s">
        <v>30</v>
      </c>
      <c r="C19" s="22"/>
      <c r="D19" s="34">
        <f aca="true" t="shared" si="7" ref="D19:D24">SUM(E19:N19)</f>
        <v>183.58999999999997</v>
      </c>
      <c r="E19" s="3">
        <f>'2019-KL'!E18*11</f>
        <v>0</v>
      </c>
      <c r="F19" s="3">
        <f>'2019-KL'!F18*11</f>
        <v>127.49</v>
      </c>
      <c r="G19" s="3">
        <f>'2019-KL'!G18*11</f>
        <v>0</v>
      </c>
      <c r="H19" s="3">
        <f>'2019-KL'!H18*11</f>
        <v>0</v>
      </c>
      <c r="I19" s="3">
        <f>'2019-KL'!I18*11</f>
        <v>0</v>
      </c>
      <c r="J19" s="26">
        <f>'2019-KL'!J18*11</f>
        <v>56.099999999999994</v>
      </c>
      <c r="K19" s="3">
        <f>'2019-KL'!K18*11</f>
        <v>0</v>
      </c>
      <c r="L19" s="3">
        <f>'2019-KL'!L18*11</f>
        <v>0</v>
      </c>
      <c r="M19" s="3">
        <f>'2019-KL'!M18*11</f>
        <v>0</v>
      </c>
      <c r="N19" s="3">
        <f>'2019-KL'!N18*11</f>
        <v>0</v>
      </c>
    </row>
    <row r="20" spans="1:14" s="13" customFormat="1" ht="21" customHeight="1">
      <c r="A20" s="6" t="s">
        <v>109</v>
      </c>
      <c r="B20" s="5" t="s">
        <v>33</v>
      </c>
      <c r="C20" s="22"/>
      <c r="D20" s="3">
        <f t="shared" si="7"/>
        <v>0</v>
      </c>
      <c r="E20" s="3">
        <f>'2019-KL'!E19*1</f>
        <v>0</v>
      </c>
      <c r="F20" s="3">
        <f>'2019-KL'!F19*1</f>
        <v>0</v>
      </c>
      <c r="G20" s="3">
        <f>'2019-KL'!G19*1</f>
        <v>0</v>
      </c>
      <c r="H20" s="3">
        <f>'2019-KL'!H19*1</f>
        <v>0</v>
      </c>
      <c r="I20" s="3">
        <f>'2019-KL'!I19*1</f>
        <v>0</v>
      </c>
      <c r="J20" s="3">
        <f>'2019-KL'!J19*1</f>
        <v>0</v>
      </c>
      <c r="K20" s="3">
        <f>'2019-KL'!K19*1</f>
        <v>0</v>
      </c>
      <c r="L20" s="3">
        <f>'2019-KL'!L19*1</f>
        <v>0</v>
      </c>
      <c r="M20" s="3">
        <f>'2019-KL'!M19*1</f>
        <v>0</v>
      </c>
      <c r="N20" s="3">
        <f>'2019-KL'!N19*1</f>
        <v>0</v>
      </c>
    </row>
    <row r="21" spans="1:14" s="14" customFormat="1" ht="21" customHeight="1">
      <c r="A21" s="1" t="s">
        <v>31</v>
      </c>
      <c r="B21" s="2" t="s">
        <v>32</v>
      </c>
      <c r="C21" s="1"/>
      <c r="D21" s="4">
        <f t="shared" si="7"/>
        <v>155.627</v>
      </c>
      <c r="E21" s="4">
        <f>E22+E23</f>
        <v>0</v>
      </c>
      <c r="F21" s="4">
        <f aca="true" t="shared" si="8" ref="F21:N21">F22+F23</f>
        <v>20.150000000000002</v>
      </c>
      <c r="G21" s="23">
        <f t="shared" si="8"/>
        <v>42</v>
      </c>
      <c r="H21" s="4">
        <f t="shared" si="8"/>
        <v>52.85</v>
      </c>
      <c r="I21" s="4">
        <f t="shared" si="8"/>
        <v>0</v>
      </c>
      <c r="J21" s="23">
        <f t="shared" si="8"/>
        <v>0</v>
      </c>
      <c r="K21" s="4">
        <f t="shared" si="8"/>
        <v>0</v>
      </c>
      <c r="L21" s="23">
        <f t="shared" si="8"/>
        <v>22.5</v>
      </c>
      <c r="M21" s="36">
        <f>M22+M23+M24</f>
        <v>18.127</v>
      </c>
      <c r="N21" s="4">
        <f t="shared" si="8"/>
        <v>0</v>
      </c>
    </row>
    <row r="22" spans="1:14" s="13" customFormat="1" ht="21" customHeight="1">
      <c r="A22" s="6" t="s">
        <v>6</v>
      </c>
      <c r="B22" s="5" t="s">
        <v>8</v>
      </c>
      <c r="C22" s="22"/>
      <c r="D22" s="26">
        <f t="shared" si="7"/>
        <v>148.75</v>
      </c>
      <c r="E22" s="3">
        <f>'2019-KL'!E21*2.5</f>
        <v>0</v>
      </c>
      <c r="F22" s="3">
        <f>'2019-KL'!F21*2.5</f>
        <v>20.150000000000002</v>
      </c>
      <c r="G22" s="3">
        <f>'2019-KL'!G21*2.5</f>
        <v>42</v>
      </c>
      <c r="H22" s="3">
        <f>'2019-KL'!H21*2.5</f>
        <v>47.1</v>
      </c>
      <c r="I22" s="3">
        <f>'2019-KL'!I21*2.5</f>
        <v>0</v>
      </c>
      <c r="J22" s="3">
        <f>'2019-KL'!J21*2.5</f>
        <v>0</v>
      </c>
      <c r="K22" s="3">
        <f>'2019-KL'!K21*2.5</f>
        <v>0</v>
      </c>
      <c r="L22" s="3">
        <f>'2019-KL'!L21*2.5</f>
        <v>22.5</v>
      </c>
      <c r="M22" s="3">
        <f>'2019-KL'!M21*2.5</f>
        <v>17</v>
      </c>
      <c r="N22" s="3">
        <f>'2019-KL'!N21*2.5</f>
        <v>0</v>
      </c>
    </row>
    <row r="23" spans="1:14" s="13" customFormat="1" ht="21" customHeight="1">
      <c r="A23" s="6" t="s">
        <v>6</v>
      </c>
      <c r="B23" s="5" t="s">
        <v>30</v>
      </c>
      <c r="C23" s="22"/>
      <c r="D23" s="26">
        <f t="shared" si="7"/>
        <v>5.75</v>
      </c>
      <c r="E23" s="3">
        <f>'2019-KL'!E22*2.5</f>
        <v>0</v>
      </c>
      <c r="F23" s="3">
        <f>'2019-KL'!F22*2.5</f>
        <v>0</v>
      </c>
      <c r="G23" s="3">
        <f>'2019-KL'!G22*2.5</f>
        <v>0</v>
      </c>
      <c r="H23" s="3">
        <f>'2019-KL'!H22*2.5</f>
        <v>5.75</v>
      </c>
      <c r="I23" s="3">
        <f>'2019-KL'!I22*2.5</f>
        <v>0</v>
      </c>
      <c r="J23" s="3">
        <f>'2019-KL'!J22*2.5</f>
        <v>0</v>
      </c>
      <c r="K23" s="3">
        <f>'2019-KL'!K22*2.5</f>
        <v>0</v>
      </c>
      <c r="L23" s="3">
        <f>'2019-KL'!L22*2.5</f>
        <v>0</v>
      </c>
      <c r="M23" s="3">
        <f>'2019-KL'!M22*2.5</f>
        <v>0</v>
      </c>
      <c r="N23" s="3">
        <f>'2019-KL'!N22*2.5</f>
        <v>0</v>
      </c>
    </row>
    <row r="24" spans="1:14" s="13" customFormat="1" ht="21" customHeight="1">
      <c r="A24" s="6" t="s">
        <v>6</v>
      </c>
      <c r="B24" s="5" t="s">
        <v>33</v>
      </c>
      <c r="C24" s="22"/>
      <c r="D24" s="3">
        <f t="shared" si="7"/>
        <v>1.127</v>
      </c>
      <c r="E24" s="3">
        <f>'2019-KL'!E23*0.7</f>
        <v>0</v>
      </c>
      <c r="F24" s="3">
        <f>'2019-KL'!F23*0.7</f>
        <v>0</v>
      </c>
      <c r="G24" s="3">
        <f>'2019-KL'!G23*0.7</f>
        <v>0</v>
      </c>
      <c r="H24" s="3">
        <f>'2019-KL'!H23*0.7</f>
        <v>0</v>
      </c>
      <c r="I24" s="3">
        <f>'2019-KL'!I23*0.7</f>
        <v>0</v>
      </c>
      <c r="J24" s="3">
        <f>'2019-KL'!J23*0.7</f>
        <v>0</v>
      </c>
      <c r="K24" s="3">
        <f>'2019-KL'!K23*0.7</f>
        <v>0</v>
      </c>
      <c r="L24" s="3">
        <f>'2019-KL'!L23*0.7</f>
        <v>0</v>
      </c>
      <c r="M24" s="3">
        <f>'2019-KL'!M23*0.7</f>
        <v>1.127</v>
      </c>
      <c r="N24" s="3">
        <f>'2019-KL'!N23*0.7</f>
        <v>0</v>
      </c>
    </row>
    <row r="25" spans="1:14" s="14" customFormat="1" ht="21" customHeight="1">
      <c r="A25" s="1">
        <v>2</v>
      </c>
      <c r="B25" s="2" t="s">
        <v>34</v>
      </c>
      <c r="C25" s="1"/>
      <c r="D25" s="11">
        <f aca="true" t="shared" si="9" ref="D25:N25">D26+D27</f>
        <v>6555</v>
      </c>
      <c r="E25" s="11">
        <f t="shared" si="9"/>
        <v>0</v>
      </c>
      <c r="F25" s="11">
        <f t="shared" si="9"/>
        <v>1425</v>
      </c>
      <c r="G25" s="11">
        <f t="shared" si="9"/>
        <v>1425</v>
      </c>
      <c r="H25" s="11">
        <f t="shared" si="9"/>
        <v>855</v>
      </c>
      <c r="I25" s="11">
        <f t="shared" si="9"/>
        <v>0</v>
      </c>
      <c r="J25" s="23">
        <f t="shared" si="9"/>
        <v>1425</v>
      </c>
      <c r="K25" s="36">
        <f t="shared" si="9"/>
        <v>0</v>
      </c>
      <c r="L25" s="23">
        <f t="shared" si="9"/>
        <v>0</v>
      </c>
      <c r="M25" s="11">
        <f t="shared" si="9"/>
        <v>1425</v>
      </c>
      <c r="N25" s="11">
        <f t="shared" si="9"/>
        <v>0</v>
      </c>
    </row>
    <row r="26" spans="1:14" s="13" customFormat="1" ht="21" customHeight="1">
      <c r="A26" s="6" t="s">
        <v>6</v>
      </c>
      <c r="B26" s="5" t="s">
        <v>108</v>
      </c>
      <c r="C26" s="22"/>
      <c r="D26" s="27">
        <f>SUM(E26:N26)</f>
        <v>6555</v>
      </c>
      <c r="E26" s="27">
        <f>'2019-KL'!E25*28.5</f>
        <v>0</v>
      </c>
      <c r="F26" s="27">
        <f>'2019-KL'!F25*28.5</f>
        <v>1425</v>
      </c>
      <c r="G26" s="27">
        <f>'2019-KL'!G25*28.5</f>
        <v>1425</v>
      </c>
      <c r="H26" s="27">
        <f>'2019-KL'!H25*28.5</f>
        <v>855</v>
      </c>
      <c r="I26" s="27">
        <f>'2019-KL'!I25*28.5</f>
        <v>0</v>
      </c>
      <c r="J26" s="27">
        <f>'2019-KL'!J25*28.5</f>
        <v>1425</v>
      </c>
      <c r="K26" s="27">
        <f>'2019-KL'!K25*28.5</f>
        <v>0</v>
      </c>
      <c r="L26" s="27">
        <f>'2019-KL'!L25*28.5</f>
        <v>0</v>
      </c>
      <c r="M26" s="27">
        <f>'2019-KL'!M25*28.5</f>
        <v>1425</v>
      </c>
      <c r="N26" s="27">
        <f>'2019-KL'!N25*28.5</f>
        <v>0</v>
      </c>
    </row>
    <row r="27" spans="1:14" s="13" customFormat="1" ht="21" customHeight="1">
      <c r="A27" s="7" t="s">
        <v>6</v>
      </c>
      <c r="B27" s="5" t="s">
        <v>107</v>
      </c>
      <c r="C27" s="22"/>
      <c r="D27" s="34">
        <f aca="true" t="shared" si="10" ref="D27:I27">D28+D29</f>
        <v>0</v>
      </c>
      <c r="E27" s="26">
        <f t="shared" si="10"/>
        <v>0</v>
      </c>
      <c r="F27" s="26">
        <f t="shared" si="10"/>
        <v>0</v>
      </c>
      <c r="G27" s="26">
        <f t="shared" si="10"/>
        <v>0</v>
      </c>
      <c r="H27" s="26">
        <f t="shared" si="10"/>
        <v>0</v>
      </c>
      <c r="I27" s="26">
        <f t="shared" si="10"/>
        <v>0</v>
      </c>
      <c r="J27" s="26"/>
      <c r="K27" s="34"/>
      <c r="L27" s="26"/>
      <c r="M27" s="26">
        <f>M28+M29</f>
        <v>0</v>
      </c>
      <c r="N27" s="26">
        <f>N28+N29</f>
        <v>0</v>
      </c>
    </row>
    <row r="28" spans="1:14" s="91" customFormat="1" ht="21" customHeight="1">
      <c r="A28" s="87" t="s">
        <v>109</v>
      </c>
      <c r="B28" s="88" t="s">
        <v>8</v>
      </c>
      <c r="C28" s="22"/>
      <c r="D28" s="34">
        <f>SUM(E28:N28)</f>
        <v>0</v>
      </c>
      <c r="E28" s="90"/>
      <c r="F28" s="89"/>
      <c r="G28" s="89"/>
      <c r="H28" s="89"/>
      <c r="I28" s="89"/>
      <c r="J28" s="89"/>
      <c r="K28" s="26"/>
      <c r="L28" s="3"/>
      <c r="M28" s="89"/>
      <c r="N28" s="90"/>
    </row>
    <row r="29" spans="1:14" s="91" customFormat="1" ht="21" customHeight="1">
      <c r="A29" s="87" t="s">
        <v>109</v>
      </c>
      <c r="B29" s="88" t="s">
        <v>9</v>
      </c>
      <c r="C29" s="22"/>
      <c r="D29" s="34">
        <f>SUM(E29:N29)</f>
        <v>0</v>
      </c>
      <c r="E29" s="90"/>
      <c r="F29" s="89"/>
      <c r="G29" s="89"/>
      <c r="H29" s="89"/>
      <c r="I29" s="89"/>
      <c r="J29" s="92"/>
      <c r="K29" s="34"/>
      <c r="L29" s="3"/>
      <c r="M29" s="89"/>
      <c r="N29" s="90"/>
    </row>
    <row r="30" spans="1:14" s="14" customFormat="1" ht="18.75" customHeight="1">
      <c r="A30" s="1">
        <v>3</v>
      </c>
      <c r="B30" s="2" t="s">
        <v>103</v>
      </c>
      <c r="C30" s="12"/>
      <c r="D30" s="24">
        <f>D31+D32</f>
        <v>847.2456900000001</v>
      </c>
      <c r="E30" s="24">
        <f>E31+E32</f>
        <v>0</v>
      </c>
      <c r="F30" s="24">
        <f>F31+F32</f>
        <v>174.1089</v>
      </c>
      <c r="G30" s="24">
        <f aca="true" t="shared" si="11" ref="G30:M30">G31+G32</f>
        <v>181.11</v>
      </c>
      <c r="H30" s="12">
        <f t="shared" si="11"/>
        <v>98.4255</v>
      </c>
      <c r="I30" s="24">
        <f t="shared" si="11"/>
        <v>6.4911</v>
      </c>
      <c r="J30" s="24">
        <f t="shared" si="11"/>
        <v>212.4606</v>
      </c>
      <c r="K30" s="24">
        <f t="shared" si="11"/>
        <v>1.30842</v>
      </c>
      <c r="L30" s="24">
        <f t="shared" si="11"/>
        <v>4.79736</v>
      </c>
      <c r="M30" s="24">
        <f t="shared" si="11"/>
        <v>168.54381</v>
      </c>
      <c r="N30" s="1"/>
    </row>
    <row r="31" spans="1:14" s="14" customFormat="1" ht="18.75" customHeight="1">
      <c r="A31" s="6" t="s">
        <v>6</v>
      </c>
      <c r="B31" s="5" t="s">
        <v>112</v>
      </c>
      <c r="C31" s="27"/>
      <c r="D31" s="25">
        <f>SUM(E31:N31)</f>
        <v>388.39569000000006</v>
      </c>
      <c r="E31" s="25">
        <f>3%*(E10+E25)</f>
        <v>0</v>
      </c>
      <c r="F31" s="25">
        <f aca="true" t="shared" si="12" ref="F31:N31">3%*(F10+F25)</f>
        <v>74.3589</v>
      </c>
      <c r="G31" s="25">
        <f t="shared" si="12"/>
        <v>81.36</v>
      </c>
      <c r="H31" s="25">
        <f t="shared" si="12"/>
        <v>38.5755</v>
      </c>
      <c r="I31" s="25">
        <f t="shared" si="12"/>
        <v>6.4911</v>
      </c>
      <c r="J31" s="25">
        <f t="shared" si="12"/>
        <v>112.7106</v>
      </c>
      <c r="K31" s="25">
        <f t="shared" si="12"/>
        <v>1.30842</v>
      </c>
      <c r="L31" s="25">
        <f t="shared" si="12"/>
        <v>4.79736</v>
      </c>
      <c r="M31" s="25">
        <f t="shared" si="12"/>
        <v>68.79381</v>
      </c>
      <c r="N31" s="25">
        <f t="shared" si="12"/>
        <v>0</v>
      </c>
    </row>
    <row r="32" spans="1:14" s="14" customFormat="1" ht="27.75" customHeight="1">
      <c r="A32" s="6" t="s">
        <v>6</v>
      </c>
      <c r="B32" s="5" t="s">
        <v>57</v>
      </c>
      <c r="C32" s="27"/>
      <c r="D32" s="25">
        <f>SUM(E32:N32)</f>
        <v>458.85</v>
      </c>
      <c r="E32" s="3">
        <f>7%*E25</f>
        <v>0</v>
      </c>
      <c r="F32" s="3">
        <f aca="true" t="shared" si="13" ref="F32:N32">7%*F25</f>
        <v>99.75000000000001</v>
      </c>
      <c r="G32" s="3">
        <f t="shared" si="13"/>
        <v>99.75000000000001</v>
      </c>
      <c r="H32" s="3">
        <f t="shared" si="13"/>
        <v>59.85000000000001</v>
      </c>
      <c r="I32" s="3">
        <f t="shared" si="13"/>
        <v>0</v>
      </c>
      <c r="J32" s="3">
        <f t="shared" si="13"/>
        <v>99.75000000000001</v>
      </c>
      <c r="K32" s="3">
        <f t="shared" si="13"/>
        <v>0</v>
      </c>
      <c r="L32" s="3">
        <f t="shared" si="13"/>
        <v>0</v>
      </c>
      <c r="M32" s="3">
        <f t="shared" si="13"/>
        <v>99.75000000000001</v>
      </c>
      <c r="N32" s="3">
        <f t="shared" si="13"/>
        <v>0</v>
      </c>
    </row>
    <row r="33" spans="1:14" s="14" customFormat="1" ht="19.5" customHeight="1">
      <c r="A33" s="1" t="s">
        <v>10</v>
      </c>
      <c r="B33" s="2" t="s">
        <v>78</v>
      </c>
      <c r="C33" s="1"/>
      <c r="D33" s="11">
        <f>SUM(E33:N33)</f>
        <v>0</v>
      </c>
      <c r="E33" s="11">
        <f>SUM(F33:O33)</f>
        <v>0</v>
      </c>
      <c r="F33" s="11">
        <f aca="true" t="shared" si="14" ref="F33:N33">SUM(G33:O33)</f>
        <v>0</v>
      </c>
      <c r="G33" s="11">
        <f t="shared" si="14"/>
        <v>0</v>
      </c>
      <c r="H33" s="11">
        <f t="shared" si="14"/>
        <v>0</v>
      </c>
      <c r="I33" s="11">
        <f t="shared" si="14"/>
        <v>0</v>
      </c>
      <c r="J33" s="11">
        <f t="shared" si="14"/>
        <v>0</v>
      </c>
      <c r="K33" s="11">
        <f t="shared" si="14"/>
        <v>0</v>
      </c>
      <c r="L33" s="11">
        <f t="shared" si="14"/>
        <v>0</v>
      </c>
      <c r="M33" s="11">
        <f t="shared" si="14"/>
        <v>0</v>
      </c>
      <c r="N33" s="11">
        <f t="shared" si="14"/>
        <v>0</v>
      </c>
    </row>
  </sheetData>
  <sheetProtection/>
  <mergeCells count="21">
    <mergeCell ref="N6:N7"/>
    <mergeCell ref="A5:A7"/>
    <mergeCell ref="E5:N5"/>
    <mergeCell ref="J6:J7"/>
    <mergeCell ref="L6:L7"/>
    <mergeCell ref="M6:M7"/>
    <mergeCell ref="C5:C7"/>
    <mergeCell ref="I6:I7"/>
    <mergeCell ref="D5:D7"/>
    <mergeCell ref="K6:K7"/>
    <mergeCell ref="B5:B7"/>
    <mergeCell ref="A1:B1"/>
    <mergeCell ref="A2:N2"/>
    <mergeCell ref="A3:N3"/>
    <mergeCell ref="A4:L4"/>
    <mergeCell ref="M4:N4"/>
    <mergeCell ref="A8:B8"/>
    <mergeCell ref="E6:E7"/>
    <mergeCell ref="F6:F7"/>
    <mergeCell ref="G6:G7"/>
    <mergeCell ref="H6:H7"/>
  </mergeCells>
  <printOptions/>
  <pageMargins left="0.5" right="0.25" top="0.5" bottom="0.25" header="0" footer="0"/>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theme="7"/>
  </sheetPr>
  <dimension ref="A1:N30"/>
  <sheetViews>
    <sheetView zoomScalePageLayoutView="0" workbookViewId="0" topLeftCell="A1">
      <pane ySplit="7" topLeftCell="A20" activePane="bottomLeft" state="frozen"/>
      <selection pane="topLeft" activeCell="A1" sqref="A1"/>
      <selection pane="bottomLeft" activeCell="L20" sqref="L20"/>
    </sheetView>
  </sheetViews>
  <sheetFormatPr defaultColWidth="9.140625" defaultRowHeight="12.75"/>
  <cols>
    <col min="1" max="1" width="4.7109375" style="17" customWidth="1"/>
    <col min="2" max="2" width="36.7109375" style="20" customWidth="1"/>
    <col min="3" max="3" width="7.7109375" style="17" customWidth="1"/>
    <col min="4" max="4" width="11.7109375" style="18" customWidth="1"/>
    <col min="5" max="13" width="10.7109375" style="18" customWidth="1"/>
    <col min="14" max="14" width="10.00390625" style="18" customWidth="1"/>
    <col min="15" max="16384" width="9.140625" style="18" customWidth="1"/>
  </cols>
  <sheetData>
    <row r="1" spans="1:14" ht="18" customHeight="1">
      <c r="A1" s="137" t="s">
        <v>101</v>
      </c>
      <c r="B1" s="137"/>
      <c r="C1" s="21"/>
      <c r="D1" s="17"/>
      <c r="E1" s="17"/>
      <c r="F1" s="17"/>
      <c r="G1" s="17"/>
      <c r="H1" s="17"/>
      <c r="I1" s="17"/>
      <c r="J1" s="17"/>
      <c r="K1" s="17"/>
      <c r="L1" s="17"/>
      <c r="M1" s="17"/>
      <c r="N1" s="17"/>
    </row>
    <row r="2" spans="1:14" ht="18" customHeight="1">
      <c r="A2" s="139" t="s">
        <v>90</v>
      </c>
      <c r="B2" s="139"/>
      <c r="C2" s="139"/>
      <c r="D2" s="139"/>
      <c r="E2" s="139"/>
      <c r="F2" s="139"/>
      <c r="G2" s="139"/>
      <c r="H2" s="139"/>
      <c r="I2" s="139"/>
      <c r="J2" s="139"/>
      <c r="K2" s="139"/>
      <c r="L2" s="139"/>
      <c r="M2" s="139"/>
      <c r="N2" s="139"/>
    </row>
    <row r="3" spans="1:14" ht="18" customHeight="1">
      <c r="A3" s="139" t="s">
        <v>16</v>
      </c>
      <c r="B3" s="139"/>
      <c r="C3" s="139"/>
      <c r="D3" s="139"/>
      <c r="E3" s="139"/>
      <c r="F3" s="139"/>
      <c r="G3" s="139"/>
      <c r="H3" s="139"/>
      <c r="I3" s="139"/>
      <c r="J3" s="139"/>
      <c r="K3" s="139"/>
      <c r="L3" s="139"/>
      <c r="M3" s="139"/>
      <c r="N3" s="139"/>
    </row>
    <row r="4" spans="1:14" ht="14.25" customHeight="1">
      <c r="A4" s="138"/>
      <c r="B4" s="138"/>
      <c r="C4" s="138"/>
      <c r="D4" s="138"/>
      <c r="E4" s="138"/>
      <c r="F4" s="138"/>
      <c r="G4" s="138"/>
      <c r="H4" s="138"/>
      <c r="I4" s="138"/>
      <c r="J4" s="138"/>
      <c r="K4" s="138"/>
      <c r="L4" s="138"/>
      <c r="M4" s="140"/>
      <c r="N4" s="140"/>
    </row>
    <row r="5" spans="1:14" s="13" customFormat="1" ht="21.75" customHeight="1">
      <c r="A5" s="135" t="s">
        <v>0</v>
      </c>
      <c r="B5" s="135" t="s">
        <v>40</v>
      </c>
      <c r="C5" s="135" t="s">
        <v>37</v>
      </c>
      <c r="D5" s="135" t="s">
        <v>12</v>
      </c>
      <c r="E5" s="135" t="s">
        <v>43</v>
      </c>
      <c r="F5" s="135"/>
      <c r="G5" s="135"/>
      <c r="H5" s="135"/>
      <c r="I5" s="135"/>
      <c r="J5" s="135"/>
      <c r="K5" s="135"/>
      <c r="L5" s="135"/>
      <c r="M5" s="135"/>
      <c r="N5" s="135"/>
    </row>
    <row r="6" spans="1:14" s="13" customFormat="1" ht="21.75" customHeight="1">
      <c r="A6" s="135"/>
      <c r="B6" s="135"/>
      <c r="C6" s="135"/>
      <c r="D6" s="135"/>
      <c r="E6" s="135" t="s">
        <v>42</v>
      </c>
      <c r="F6" s="135" t="s">
        <v>11</v>
      </c>
      <c r="G6" s="135" t="s">
        <v>13</v>
      </c>
      <c r="H6" s="135" t="s">
        <v>2</v>
      </c>
      <c r="I6" s="135" t="s">
        <v>3</v>
      </c>
      <c r="J6" s="135" t="s">
        <v>22</v>
      </c>
      <c r="K6" s="135" t="s">
        <v>23</v>
      </c>
      <c r="L6" s="135" t="s">
        <v>21</v>
      </c>
      <c r="M6" s="135" t="s">
        <v>14</v>
      </c>
      <c r="N6" s="135" t="s">
        <v>20</v>
      </c>
    </row>
    <row r="7" spans="1:14" s="13" customFormat="1" ht="21.75" customHeight="1">
      <c r="A7" s="135"/>
      <c r="B7" s="135"/>
      <c r="C7" s="135"/>
      <c r="D7" s="135"/>
      <c r="E7" s="135"/>
      <c r="F7" s="135"/>
      <c r="G7" s="135"/>
      <c r="H7" s="135"/>
      <c r="I7" s="135"/>
      <c r="J7" s="135"/>
      <c r="K7" s="135"/>
      <c r="L7" s="135"/>
      <c r="M7" s="135"/>
      <c r="N7" s="135"/>
    </row>
    <row r="8" spans="1:14" s="14" customFormat="1" ht="21" customHeight="1">
      <c r="A8" s="1" t="s">
        <v>4</v>
      </c>
      <c r="B8" s="2" t="s">
        <v>43</v>
      </c>
      <c r="C8" s="1"/>
      <c r="D8" s="4"/>
      <c r="E8" s="4"/>
      <c r="F8" s="4"/>
      <c r="G8" s="4"/>
      <c r="H8" s="4"/>
      <c r="I8" s="4"/>
      <c r="J8" s="4"/>
      <c r="K8" s="4"/>
      <c r="L8" s="4"/>
      <c r="M8" s="4"/>
      <c r="N8" s="8"/>
    </row>
    <row r="9" spans="1:14" s="13" customFormat="1" ht="21" customHeight="1">
      <c r="A9" s="1">
        <v>1</v>
      </c>
      <c r="B9" s="2" t="s">
        <v>44</v>
      </c>
      <c r="C9" s="1" t="s">
        <v>45</v>
      </c>
      <c r="D9" s="4">
        <f>D10+D15+D20</f>
        <v>747.28</v>
      </c>
      <c r="E9" s="4">
        <f aca="true" t="shared" si="0" ref="E9:N9">E10+E15+E20</f>
        <v>0</v>
      </c>
      <c r="F9" s="4">
        <f t="shared" si="0"/>
        <v>136.68</v>
      </c>
      <c r="G9" s="4">
        <f t="shared" si="0"/>
        <v>153</v>
      </c>
      <c r="H9" s="4">
        <f t="shared" si="0"/>
        <v>60</v>
      </c>
      <c r="I9" s="4">
        <f t="shared" si="0"/>
        <v>19.67</v>
      </c>
      <c r="J9" s="4">
        <f t="shared" si="0"/>
        <v>239.5</v>
      </c>
      <c r="K9" s="4">
        <f t="shared" si="0"/>
        <v>6.23</v>
      </c>
      <c r="L9" s="4">
        <f t="shared" si="0"/>
        <v>12.200000000000001</v>
      </c>
      <c r="M9" s="4">
        <f t="shared" si="0"/>
        <v>120</v>
      </c>
      <c r="N9" s="4">
        <f t="shared" si="0"/>
        <v>0</v>
      </c>
    </row>
    <row r="10" spans="1:14" s="14" customFormat="1" ht="21" customHeight="1">
      <c r="A10" s="1" t="s">
        <v>27</v>
      </c>
      <c r="B10" s="2" t="s">
        <v>19</v>
      </c>
      <c r="C10" s="1" t="s">
        <v>45</v>
      </c>
      <c r="D10" s="36">
        <f aca="true" t="shared" si="1" ref="D10:N10">D11+D12</f>
        <v>230</v>
      </c>
      <c r="E10" s="11">
        <f t="shared" si="1"/>
        <v>0</v>
      </c>
      <c r="F10" s="11">
        <f t="shared" si="1"/>
        <v>50</v>
      </c>
      <c r="G10" s="11">
        <f t="shared" si="1"/>
        <v>50</v>
      </c>
      <c r="H10" s="11">
        <f t="shared" si="1"/>
        <v>30</v>
      </c>
      <c r="I10" s="11">
        <f t="shared" si="1"/>
        <v>0</v>
      </c>
      <c r="J10" s="23">
        <f t="shared" si="1"/>
        <v>50</v>
      </c>
      <c r="K10" s="36">
        <f t="shared" si="1"/>
        <v>0</v>
      </c>
      <c r="L10" s="23">
        <f t="shared" si="1"/>
        <v>0</v>
      </c>
      <c r="M10" s="11">
        <f t="shared" si="1"/>
        <v>50</v>
      </c>
      <c r="N10" s="11">
        <f t="shared" si="1"/>
        <v>0</v>
      </c>
    </row>
    <row r="11" spans="1:14" s="13" customFormat="1" ht="21" customHeight="1">
      <c r="A11" s="6" t="s">
        <v>6</v>
      </c>
      <c r="B11" s="5" t="s">
        <v>108</v>
      </c>
      <c r="C11" s="22" t="s">
        <v>45</v>
      </c>
      <c r="D11" s="27">
        <f>SUM(E11:N11)</f>
        <v>230</v>
      </c>
      <c r="E11" s="27"/>
      <c r="F11" s="27">
        <v>50</v>
      </c>
      <c r="G11" s="27">
        <v>50</v>
      </c>
      <c r="H11" s="27">
        <v>30</v>
      </c>
      <c r="I11" s="27">
        <v>0</v>
      </c>
      <c r="J11" s="27">
        <v>50</v>
      </c>
      <c r="K11" s="27">
        <v>0</v>
      </c>
      <c r="L11" s="27"/>
      <c r="M11" s="27">
        <v>50</v>
      </c>
      <c r="N11" s="27">
        <v>0</v>
      </c>
    </row>
    <row r="12" spans="1:14" s="13" customFormat="1" ht="21" customHeight="1">
      <c r="A12" s="7" t="s">
        <v>6</v>
      </c>
      <c r="B12" s="5" t="s">
        <v>107</v>
      </c>
      <c r="C12" s="22" t="s">
        <v>45</v>
      </c>
      <c r="D12" s="34">
        <f aca="true" t="shared" si="2" ref="D12:I12">D13+D14</f>
        <v>0</v>
      </c>
      <c r="E12" s="26">
        <f t="shared" si="2"/>
        <v>0</v>
      </c>
      <c r="F12" s="26">
        <f t="shared" si="2"/>
        <v>0</v>
      </c>
      <c r="G12" s="26">
        <f t="shared" si="2"/>
        <v>0</v>
      </c>
      <c r="H12" s="26">
        <f t="shared" si="2"/>
        <v>0</v>
      </c>
      <c r="I12" s="26">
        <f t="shared" si="2"/>
        <v>0</v>
      </c>
      <c r="J12" s="26"/>
      <c r="K12" s="34"/>
      <c r="L12" s="26"/>
      <c r="M12" s="26">
        <f>M13+M14</f>
        <v>0</v>
      </c>
      <c r="N12" s="26">
        <f>N13+N14</f>
        <v>0</v>
      </c>
    </row>
    <row r="13" spans="1:14" s="91" customFormat="1" ht="21" customHeight="1">
      <c r="A13" s="87" t="s">
        <v>109</v>
      </c>
      <c r="B13" s="88" t="s">
        <v>8</v>
      </c>
      <c r="C13" s="22" t="s">
        <v>45</v>
      </c>
      <c r="D13" s="34">
        <f>SUM(E13:N13)</f>
        <v>0</v>
      </c>
      <c r="E13" s="90"/>
      <c r="F13" s="89"/>
      <c r="G13" s="89"/>
      <c r="H13" s="89"/>
      <c r="I13" s="89"/>
      <c r="J13" s="89"/>
      <c r="K13" s="26"/>
      <c r="L13" s="3"/>
      <c r="M13" s="89"/>
      <c r="N13" s="90"/>
    </row>
    <row r="14" spans="1:14" s="91" customFormat="1" ht="21" customHeight="1">
      <c r="A14" s="87" t="s">
        <v>109</v>
      </c>
      <c r="B14" s="88" t="s">
        <v>9</v>
      </c>
      <c r="C14" s="22" t="s">
        <v>45</v>
      </c>
      <c r="D14" s="34">
        <f>SUM(E14:N14)</f>
        <v>0</v>
      </c>
      <c r="E14" s="90"/>
      <c r="F14" s="89"/>
      <c r="G14" s="89"/>
      <c r="H14" s="89"/>
      <c r="I14" s="89"/>
      <c r="J14" s="92"/>
      <c r="K14" s="34"/>
      <c r="L14" s="3"/>
      <c r="M14" s="89"/>
      <c r="N14" s="90"/>
    </row>
    <row r="15" spans="1:14" s="14" customFormat="1" ht="21" customHeight="1">
      <c r="A15" s="1" t="s">
        <v>29</v>
      </c>
      <c r="B15" s="2" t="s">
        <v>28</v>
      </c>
      <c r="C15" s="1" t="s">
        <v>45</v>
      </c>
      <c r="D15" s="36">
        <f aca="true" t="shared" si="3" ref="D15:N15">D16+D17</f>
        <v>402.83</v>
      </c>
      <c r="E15" s="11">
        <f t="shared" si="3"/>
        <v>0</v>
      </c>
      <c r="F15" s="11">
        <f t="shared" si="3"/>
        <v>50</v>
      </c>
      <c r="G15" s="11">
        <f t="shared" si="3"/>
        <v>70</v>
      </c>
      <c r="H15" s="11">
        <f t="shared" si="3"/>
        <v>30</v>
      </c>
      <c r="I15" s="11">
        <f t="shared" si="3"/>
        <v>0</v>
      </c>
      <c r="J15" s="23">
        <f t="shared" si="3"/>
        <v>184.4</v>
      </c>
      <c r="K15" s="36">
        <f t="shared" si="3"/>
        <v>6.23</v>
      </c>
      <c r="L15" s="23">
        <f t="shared" si="3"/>
        <v>12.200000000000001</v>
      </c>
      <c r="M15" s="11">
        <f t="shared" si="3"/>
        <v>50</v>
      </c>
      <c r="N15" s="11">
        <f t="shared" si="3"/>
        <v>0</v>
      </c>
    </row>
    <row r="16" spans="1:14" s="13" customFormat="1" ht="21" customHeight="1">
      <c r="A16" s="6" t="s">
        <v>6</v>
      </c>
      <c r="B16" s="5" t="s">
        <v>108</v>
      </c>
      <c r="C16" s="22" t="s">
        <v>45</v>
      </c>
      <c r="D16" s="27">
        <f>SUM(E16:N16)</f>
        <v>380</v>
      </c>
      <c r="E16" s="27"/>
      <c r="F16" s="27">
        <v>50</v>
      </c>
      <c r="G16" s="27">
        <v>70</v>
      </c>
      <c r="H16" s="27">
        <v>30</v>
      </c>
      <c r="I16" s="27">
        <v>0</v>
      </c>
      <c r="J16" s="27">
        <v>180</v>
      </c>
      <c r="K16" s="27">
        <v>0</v>
      </c>
      <c r="L16" s="27"/>
      <c r="M16" s="27">
        <v>50</v>
      </c>
      <c r="N16" s="27">
        <v>0</v>
      </c>
    </row>
    <row r="17" spans="1:14" s="13" customFormat="1" ht="21" customHeight="1">
      <c r="A17" s="7" t="s">
        <v>6</v>
      </c>
      <c r="B17" s="5" t="s">
        <v>107</v>
      </c>
      <c r="C17" s="22" t="s">
        <v>45</v>
      </c>
      <c r="D17" s="34">
        <f>D18+D19</f>
        <v>22.830000000000002</v>
      </c>
      <c r="E17" s="26">
        <f>E18+E19</f>
        <v>0</v>
      </c>
      <c r="F17" s="26">
        <f aca="true" t="shared" si="4" ref="F17:N17">F18+F19</f>
        <v>0</v>
      </c>
      <c r="G17" s="26">
        <f t="shared" si="4"/>
        <v>0</v>
      </c>
      <c r="H17" s="26">
        <f t="shared" si="4"/>
        <v>0</v>
      </c>
      <c r="I17" s="26">
        <f t="shared" si="4"/>
        <v>0</v>
      </c>
      <c r="J17" s="26">
        <f t="shared" si="4"/>
        <v>4.4</v>
      </c>
      <c r="K17" s="34">
        <f t="shared" si="4"/>
        <v>6.23</v>
      </c>
      <c r="L17" s="26">
        <f t="shared" si="4"/>
        <v>12.200000000000001</v>
      </c>
      <c r="M17" s="26">
        <f t="shared" si="4"/>
        <v>0</v>
      </c>
      <c r="N17" s="26">
        <f t="shared" si="4"/>
        <v>0</v>
      </c>
    </row>
    <row r="18" spans="1:14" s="91" customFormat="1" ht="21" customHeight="1">
      <c r="A18" s="87" t="s">
        <v>109</v>
      </c>
      <c r="B18" s="88" t="s">
        <v>8</v>
      </c>
      <c r="C18" s="22" t="s">
        <v>45</v>
      </c>
      <c r="D18" s="34">
        <f>SUM(E18:N18)</f>
        <v>13.690000000000001</v>
      </c>
      <c r="E18" s="90"/>
      <c r="F18" s="89"/>
      <c r="G18" s="89"/>
      <c r="H18" s="89"/>
      <c r="I18" s="89"/>
      <c r="J18" s="89"/>
      <c r="K18" s="26">
        <v>3</v>
      </c>
      <c r="L18" s="3">
        <f>2.2+8.49</f>
        <v>10.690000000000001</v>
      </c>
      <c r="M18" s="89"/>
      <c r="N18" s="90"/>
    </row>
    <row r="19" spans="1:14" s="91" customFormat="1" ht="21" customHeight="1">
      <c r="A19" s="87" t="s">
        <v>109</v>
      </c>
      <c r="B19" s="88" t="s">
        <v>9</v>
      </c>
      <c r="C19" s="22" t="s">
        <v>45</v>
      </c>
      <c r="D19" s="34">
        <f>SUM(E19:N19)</f>
        <v>9.14</v>
      </c>
      <c r="E19" s="90"/>
      <c r="F19" s="89"/>
      <c r="G19" s="89"/>
      <c r="H19" s="89"/>
      <c r="I19" s="89"/>
      <c r="J19" s="92">
        <v>4.4</v>
      </c>
      <c r="K19" s="34">
        <v>3.23</v>
      </c>
      <c r="L19" s="3">
        <v>1.51</v>
      </c>
      <c r="M19" s="89"/>
      <c r="N19" s="90"/>
    </row>
    <row r="20" spans="1:14" s="14" customFormat="1" ht="21" customHeight="1">
      <c r="A20" s="1" t="s">
        <v>31</v>
      </c>
      <c r="B20" s="2" t="s">
        <v>32</v>
      </c>
      <c r="C20" s="1" t="s">
        <v>45</v>
      </c>
      <c r="D20" s="4">
        <f>SUM(E20:N20)</f>
        <v>114.45</v>
      </c>
      <c r="E20" s="4">
        <f>E21+E22</f>
        <v>0</v>
      </c>
      <c r="F20" s="23">
        <f aca="true" t="shared" si="5" ref="F20:N20">F21+F22</f>
        <v>36.68</v>
      </c>
      <c r="G20" s="11">
        <f t="shared" si="5"/>
        <v>33</v>
      </c>
      <c r="H20" s="4">
        <f t="shared" si="5"/>
        <v>0</v>
      </c>
      <c r="I20" s="4">
        <f t="shared" si="5"/>
        <v>19.67</v>
      </c>
      <c r="J20" s="23">
        <f t="shared" si="5"/>
        <v>5.1</v>
      </c>
      <c r="K20" s="4">
        <f t="shared" si="5"/>
        <v>0</v>
      </c>
      <c r="L20" s="4">
        <f t="shared" si="5"/>
        <v>0</v>
      </c>
      <c r="M20" s="11">
        <f t="shared" si="5"/>
        <v>20</v>
      </c>
      <c r="N20" s="4">
        <f t="shared" si="5"/>
        <v>0</v>
      </c>
    </row>
    <row r="21" spans="1:14" s="13" customFormat="1" ht="21" customHeight="1">
      <c r="A21" s="6" t="s">
        <v>6</v>
      </c>
      <c r="B21" s="5" t="s">
        <v>8</v>
      </c>
      <c r="C21" s="22" t="s">
        <v>45</v>
      </c>
      <c r="D21" s="34">
        <f>SUM(E21:N21)</f>
        <v>97.76</v>
      </c>
      <c r="E21" s="27">
        <f>'2017-Kl'!E20</f>
        <v>0</v>
      </c>
      <c r="F21" s="34">
        <f>'2017-Kl'!F20</f>
        <v>25.09</v>
      </c>
      <c r="G21" s="27">
        <f>'2017-Kl'!G20</f>
        <v>33</v>
      </c>
      <c r="H21" s="27">
        <f>'2017-Kl'!H20</f>
        <v>0</v>
      </c>
      <c r="I21" s="34">
        <v>19.67</v>
      </c>
      <c r="J21" s="27"/>
      <c r="K21" s="27">
        <f>'2017-Kl'!K20</f>
        <v>0</v>
      </c>
      <c r="L21" s="27">
        <f>'2017-Kl'!L20</f>
        <v>0</v>
      </c>
      <c r="M21" s="27">
        <f>'2017-Kl'!M20</f>
        <v>20</v>
      </c>
      <c r="N21" s="27">
        <f>'2017-Kl'!N20</f>
        <v>0</v>
      </c>
    </row>
    <row r="22" spans="1:14" s="13" customFormat="1" ht="21" customHeight="1">
      <c r="A22" s="6" t="s">
        <v>6</v>
      </c>
      <c r="B22" s="5" t="s">
        <v>82</v>
      </c>
      <c r="C22" s="22" t="s">
        <v>45</v>
      </c>
      <c r="D22" s="34">
        <f>D23+D24</f>
        <v>16.689999999999998</v>
      </c>
      <c r="E22" s="34">
        <f>E23+E24</f>
        <v>0</v>
      </c>
      <c r="F22" s="34">
        <f aca="true" t="shared" si="6" ref="F22:N22">F23+F24</f>
        <v>11.59</v>
      </c>
      <c r="G22" s="34">
        <f t="shared" si="6"/>
        <v>0</v>
      </c>
      <c r="H22" s="34">
        <f t="shared" si="6"/>
        <v>0</v>
      </c>
      <c r="I22" s="34">
        <f t="shared" si="6"/>
        <v>0</v>
      </c>
      <c r="J22" s="26">
        <f t="shared" si="6"/>
        <v>5.1</v>
      </c>
      <c r="K22" s="34">
        <f t="shared" si="6"/>
        <v>0</v>
      </c>
      <c r="L22" s="34">
        <f t="shared" si="6"/>
        <v>0</v>
      </c>
      <c r="M22" s="34">
        <f t="shared" si="6"/>
        <v>0</v>
      </c>
      <c r="N22" s="34">
        <f t="shared" si="6"/>
        <v>0</v>
      </c>
    </row>
    <row r="23" spans="1:14" s="13" customFormat="1" ht="21" customHeight="1">
      <c r="A23" s="6" t="s">
        <v>109</v>
      </c>
      <c r="B23" s="5" t="s">
        <v>30</v>
      </c>
      <c r="C23" s="22" t="s">
        <v>45</v>
      </c>
      <c r="D23" s="34">
        <f>SUM(E23:N23)</f>
        <v>16.689999999999998</v>
      </c>
      <c r="E23" s="3">
        <f>'2017-Kl'!E24</f>
        <v>0</v>
      </c>
      <c r="F23" s="3">
        <f>'2017-Kl'!F24</f>
        <v>11.59</v>
      </c>
      <c r="G23" s="3">
        <f>'2017-Kl'!G24</f>
        <v>0</v>
      </c>
      <c r="H23" s="3">
        <f>'2017-Kl'!H24</f>
        <v>0</v>
      </c>
      <c r="I23" s="3">
        <f>'2017-Kl'!I24</f>
        <v>0</v>
      </c>
      <c r="J23" s="26">
        <f>'2017-Kl'!J24</f>
        <v>5.1</v>
      </c>
      <c r="K23" s="26">
        <f>'2017-Kl'!K24</f>
        <v>0</v>
      </c>
      <c r="L23" s="3">
        <f>'2017-Kl'!L24</f>
        <v>0</v>
      </c>
      <c r="M23" s="3">
        <f>'2017-Kl'!M24</f>
        <v>0</v>
      </c>
      <c r="N23" s="3">
        <f>'2017-Kl'!N24</f>
        <v>0</v>
      </c>
    </row>
    <row r="24" spans="1:14" s="13" customFormat="1" ht="21" customHeight="1">
      <c r="A24" s="6" t="s">
        <v>109</v>
      </c>
      <c r="B24" s="5" t="s">
        <v>33</v>
      </c>
      <c r="C24" s="22" t="s">
        <v>45</v>
      </c>
      <c r="D24" s="3">
        <f>SUM(E24:N24)</f>
        <v>0</v>
      </c>
      <c r="E24" s="3">
        <f>'2017-Kl'!E25</f>
        <v>0</v>
      </c>
      <c r="F24" s="3">
        <f>'2017-Kl'!F25</f>
        <v>0</v>
      </c>
      <c r="G24" s="3">
        <f>'2017-Kl'!G25</f>
        <v>0</v>
      </c>
      <c r="H24" s="3">
        <f>'2017-Kl'!H25</f>
        <v>0</v>
      </c>
      <c r="I24" s="3">
        <f>'2017-Kl'!I25</f>
        <v>0</v>
      </c>
      <c r="J24" s="3">
        <f>'2017-Kl'!J25</f>
        <v>0</v>
      </c>
      <c r="K24" s="3">
        <f>'2017-Kl'!K25</f>
        <v>0</v>
      </c>
      <c r="L24" s="3">
        <f>'2017-Kl'!L25</f>
        <v>0</v>
      </c>
      <c r="M24" s="3">
        <f>'2017-Kl'!M25</f>
        <v>0</v>
      </c>
      <c r="N24" s="3">
        <f>'2017-Kl'!N25</f>
        <v>0</v>
      </c>
    </row>
    <row r="25" spans="1:14" s="14" customFormat="1" ht="21" customHeight="1">
      <c r="A25" s="1">
        <v>2</v>
      </c>
      <c r="B25" s="2" t="s">
        <v>34</v>
      </c>
      <c r="C25" s="1" t="s">
        <v>45</v>
      </c>
      <c r="D25" s="36">
        <f aca="true" t="shared" si="7" ref="D25:N25">D26+D27</f>
        <v>230</v>
      </c>
      <c r="E25" s="11">
        <f t="shared" si="7"/>
        <v>0</v>
      </c>
      <c r="F25" s="11">
        <f t="shared" si="7"/>
        <v>50</v>
      </c>
      <c r="G25" s="11">
        <f t="shared" si="7"/>
        <v>50</v>
      </c>
      <c r="H25" s="11">
        <f t="shared" si="7"/>
        <v>30</v>
      </c>
      <c r="I25" s="11">
        <f t="shared" si="7"/>
        <v>0</v>
      </c>
      <c r="J25" s="23">
        <f t="shared" si="7"/>
        <v>50</v>
      </c>
      <c r="K25" s="36">
        <f t="shared" si="7"/>
        <v>0</v>
      </c>
      <c r="L25" s="23">
        <f t="shared" si="7"/>
        <v>0</v>
      </c>
      <c r="M25" s="11">
        <f t="shared" si="7"/>
        <v>50</v>
      </c>
      <c r="N25" s="11">
        <f t="shared" si="7"/>
        <v>0</v>
      </c>
    </row>
    <row r="26" spans="1:14" s="13" customFormat="1" ht="21" customHeight="1">
      <c r="A26" s="6" t="s">
        <v>6</v>
      </c>
      <c r="B26" s="5" t="s">
        <v>108</v>
      </c>
      <c r="C26" s="22" t="s">
        <v>45</v>
      </c>
      <c r="D26" s="27">
        <f>SUM(E26:N26)</f>
        <v>230</v>
      </c>
      <c r="E26" s="27"/>
      <c r="F26" s="27">
        <v>50</v>
      </c>
      <c r="G26" s="27">
        <v>50</v>
      </c>
      <c r="H26" s="27">
        <v>30</v>
      </c>
      <c r="I26" s="27">
        <v>0</v>
      </c>
      <c r="J26" s="27">
        <v>50</v>
      </c>
      <c r="K26" s="27">
        <v>0</v>
      </c>
      <c r="L26" s="27"/>
      <c r="M26" s="27">
        <v>50</v>
      </c>
      <c r="N26" s="27">
        <v>0</v>
      </c>
    </row>
    <row r="27" spans="1:14" s="13" customFormat="1" ht="21" customHeight="1">
      <c r="A27" s="7" t="s">
        <v>6</v>
      </c>
      <c r="B27" s="5" t="s">
        <v>107</v>
      </c>
      <c r="C27" s="22" t="s">
        <v>45</v>
      </c>
      <c r="D27" s="34">
        <f aca="true" t="shared" si="8" ref="D27:I27">D28+D29</f>
        <v>0</v>
      </c>
      <c r="E27" s="26">
        <f t="shared" si="8"/>
        <v>0</v>
      </c>
      <c r="F27" s="26">
        <f t="shared" si="8"/>
        <v>0</v>
      </c>
      <c r="G27" s="26">
        <f t="shared" si="8"/>
        <v>0</v>
      </c>
      <c r="H27" s="26">
        <f t="shared" si="8"/>
        <v>0</v>
      </c>
      <c r="I27" s="26">
        <f t="shared" si="8"/>
        <v>0</v>
      </c>
      <c r="J27" s="26"/>
      <c r="K27" s="34"/>
      <c r="L27" s="26"/>
      <c r="M27" s="26">
        <f>M28+M29</f>
        <v>0</v>
      </c>
      <c r="N27" s="26">
        <f>N28+N29</f>
        <v>0</v>
      </c>
    </row>
    <row r="28" spans="1:14" s="91" customFormat="1" ht="21" customHeight="1">
      <c r="A28" s="87" t="s">
        <v>109</v>
      </c>
      <c r="B28" s="88" t="s">
        <v>8</v>
      </c>
      <c r="C28" s="22" t="s">
        <v>45</v>
      </c>
      <c r="D28" s="34">
        <f>SUM(E28:N28)</f>
        <v>0</v>
      </c>
      <c r="E28" s="90"/>
      <c r="F28" s="89"/>
      <c r="G28" s="89"/>
      <c r="H28" s="89"/>
      <c r="I28" s="89"/>
      <c r="J28" s="89"/>
      <c r="K28" s="26"/>
      <c r="L28" s="3"/>
      <c r="M28" s="89"/>
      <c r="N28" s="90"/>
    </row>
    <row r="29" spans="1:14" s="91" customFormat="1" ht="21" customHeight="1">
      <c r="A29" s="87" t="s">
        <v>109</v>
      </c>
      <c r="B29" s="88" t="s">
        <v>9</v>
      </c>
      <c r="C29" s="22" t="s">
        <v>45</v>
      </c>
      <c r="D29" s="34">
        <f>SUM(E29:N29)</f>
        <v>0</v>
      </c>
      <c r="E29" s="90"/>
      <c r="F29" s="89"/>
      <c r="G29" s="89"/>
      <c r="H29" s="89"/>
      <c r="I29" s="89"/>
      <c r="J29" s="92"/>
      <c r="K29" s="34"/>
      <c r="L29" s="3"/>
      <c r="M29" s="89"/>
      <c r="N29" s="90"/>
    </row>
    <row r="30" spans="1:14" s="14" customFormat="1" ht="19.5" customHeight="1">
      <c r="A30" s="1" t="s">
        <v>10</v>
      </c>
      <c r="B30" s="2" t="s">
        <v>78</v>
      </c>
      <c r="C30" s="1" t="s">
        <v>38</v>
      </c>
      <c r="D30" s="11">
        <f>SUM(E30:N30)</f>
        <v>0</v>
      </c>
      <c r="E30" s="11">
        <f>SUM(F30:O30)</f>
        <v>0</v>
      </c>
      <c r="F30" s="11">
        <f aca="true" t="shared" si="9" ref="F30:N30">SUM(G30:O30)</f>
        <v>0</v>
      </c>
      <c r="G30" s="11">
        <f t="shared" si="9"/>
        <v>0</v>
      </c>
      <c r="H30" s="11">
        <f t="shared" si="9"/>
        <v>0</v>
      </c>
      <c r="I30" s="11">
        <f t="shared" si="9"/>
        <v>0</v>
      </c>
      <c r="J30" s="11">
        <f t="shared" si="9"/>
        <v>0</v>
      </c>
      <c r="K30" s="11">
        <f t="shared" si="9"/>
        <v>0</v>
      </c>
      <c r="L30" s="11">
        <f t="shared" si="9"/>
        <v>0</v>
      </c>
      <c r="M30" s="11">
        <f t="shared" si="9"/>
        <v>0</v>
      </c>
      <c r="N30" s="11">
        <f t="shared" si="9"/>
        <v>0</v>
      </c>
    </row>
  </sheetData>
  <sheetProtection/>
  <mergeCells count="20">
    <mergeCell ref="A1:B1"/>
    <mergeCell ref="A2:N2"/>
    <mergeCell ref="A3:N3"/>
    <mergeCell ref="A4:L4"/>
    <mergeCell ref="M4:N4"/>
    <mergeCell ref="A5:A7"/>
    <mergeCell ref="B5:B7"/>
    <mergeCell ref="C5:C7"/>
    <mergeCell ref="D5:D7"/>
    <mergeCell ref="E5:N5"/>
    <mergeCell ref="K6:K7"/>
    <mergeCell ref="L6:L7"/>
    <mergeCell ref="M6:M7"/>
    <mergeCell ref="N6:N7"/>
    <mergeCell ref="E6:E7"/>
    <mergeCell ref="F6:F7"/>
    <mergeCell ref="G6:G7"/>
    <mergeCell ref="H6:H7"/>
    <mergeCell ref="I6:I7"/>
    <mergeCell ref="J6:J7"/>
  </mergeCells>
  <printOptions/>
  <pageMargins left="0.5" right="0.25" top="0.5" bottom="0.25" header="0" footer="0"/>
  <pageSetup horizontalDpi="600" verticalDpi="600" orientation="landscape" paperSize="9" scale="85" r:id="rId3"/>
  <legacyDrawing r:id="rId2"/>
</worksheet>
</file>

<file path=xl/worksheets/sheet6.xml><?xml version="1.0" encoding="utf-8"?>
<worksheet xmlns="http://schemas.openxmlformats.org/spreadsheetml/2006/main" xmlns:r="http://schemas.openxmlformats.org/officeDocument/2006/relationships">
  <sheetPr>
    <tabColor theme="7"/>
  </sheetPr>
  <dimension ref="A1:N37"/>
  <sheetViews>
    <sheetView zoomScalePageLayoutView="0" workbookViewId="0" topLeftCell="A1">
      <pane ySplit="7" topLeftCell="A22" activePane="bottomLeft" state="frozen"/>
      <selection pane="topLeft" activeCell="A1" sqref="A1"/>
      <selection pane="bottomLeft" activeCell="D32" sqref="D32"/>
    </sheetView>
  </sheetViews>
  <sheetFormatPr defaultColWidth="9.140625" defaultRowHeight="12.75"/>
  <cols>
    <col min="1" max="1" width="4.7109375" style="17" customWidth="1"/>
    <col min="2" max="2" width="36.7109375" style="20" customWidth="1"/>
    <col min="3" max="3" width="7.7109375" style="17" hidden="1" customWidth="1"/>
    <col min="4" max="4" width="11.7109375" style="18" customWidth="1"/>
    <col min="5" max="13" width="10.7109375" style="18" customWidth="1"/>
    <col min="14" max="14" width="8.7109375" style="18" customWidth="1"/>
    <col min="15" max="16384" width="9.140625" style="18" customWidth="1"/>
  </cols>
  <sheetData>
    <row r="1" spans="1:14" ht="18" customHeight="1">
      <c r="A1" s="137" t="s">
        <v>101</v>
      </c>
      <c r="B1" s="137"/>
      <c r="C1" s="21"/>
      <c r="D1" s="17"/>
      <c r="E1" s="17"/>
      <c r="F1" s="17"/>
      <c r="G1" s="17"/>
      <c r="H1" s="17"/>
      <c r="I1" s="17"/>
      <c r="J1" s="17"/>
      <c r="K1" s="17"/>
      <c r="L1" s="17"/>
      <c r="M1" s="17"/>
      <c r="N1" s="17"/>
    </row>
    <row r="2" spans="1:14" ht="18" customHeight="1">
      <c r="A2" s="139" t="s">
        <v>90</v>
      </c>
      <c r="B2" s="139"/>
      <c r="C2" s="139"/>
      <c r="D2" s="139"/>
      <c r="E2" s="139"/>
      <c r="F2" s="139"/>
      <c r="G2" s="139"/>
      <c r="H2" s="139"/>
      <c r="I2" s="139"/>
      <c r="J2" s="139"/>
      <c r="K2" s="139"/>
      <c r="L2" s="139"/>
      <c r="M2" s="139"/>
      <c r="N2" s="139"/>
    </row>
    <row r="3" spans="1:14" ht="18" customHeight="1">
      <c r="A3" s="139" t="s">
        <v>16</v>
      </c>
      <c r="B3" s="139"/>
      <c r="C3" s="139"/>
      <c r="D3" s="139"/>
      <c r="E3" s="139"/>
      <c r="F3" s="139"/>
      <c r="G3" s="139"/>
      <c r="H3" s="139"/>
      <c r="I3" s="139"/>
      <c r="J3" s="139"/>
      <c r="K3" s="139"/>
      <c r="L3" s="139"/>
      <c r="M3" s="139"/>
      <c r="N3" s="139"/>
    </row>
    <row r="4" spans="1:14" ht="14.25" customHeight="1">
      <c r="A4" s="138"/>
      <c r="B4" s="138"/>
      <c r="C4" s="138"/>
      <c r="D4" s="138"/>
      <c r="E4" s="138"/>
      <c r="F4" s="138"/>
      <c r="G4" s="138"/>
      <c r="H4" s="138"/>
      <c r="I4" s="138"/>
      <c r="J4" s="138"/>
      <c r="K4" s="138"/>
      <c r="L4" s="138"/>
      <c r="M4" s="140"/>
      <c r="N4" s="140"/>
    </row>
    <row r="5" spans="1:14" s="13" customFormat="1" ht="21.75" customHeight="1">
      <c r="A5" s="135" t="s">
        <v>0</v>
      </c>
      <c r="B5" s="135" t="s">
        <v>40</v>
      </c>
      <c r="C5" s="135"/>
      <c r="D5" s="135" t="s">
        <v>12</v>
      </c>
      <c r="E5" s="135" t="s">
        <v>43</v>
      </c>
      <c r="F5" s="135"/>
      <c r="G5" s="135"/>
      <c r="H5" s="135"/>
      <c r="I5" s="135"/>
      <c r="J5" s="135"/>
      <c r="K5" s="135"/>
      <c r="L5" s="135"/>
      <c r="M5" s="135"/>
      <c r="N5" s="135"/>
    </row>
    <row r="6" spans="1:14" s="13" customFormat="1" ht="21.75" customHeight="1">
      <c r="A6" s="135"/>
      <c r="B6" s="135"/>
      <c r="C6" s="135"/>
      <c r="D6" s="135"/>
      <c r="E6" s="135" t="s">
        <v>42</v>
      </c>
      <c r="F6" s="135" t="s">
        <v>11</v>
      </c>
      <c r="G6" s="135" t="s">
        <v>13</v>
      </c>
      <c r="H6" s="135" t="s">
        <v>2</v>
      </c>
      <c r="I6" s="135" t="s">
        <v>3</v>
      </c>
      <c r="J6" s="135" t="s">
        <v>22</v>
      </c>
      <c r="K6" s="135" t="s">
        <v>23</v>
      </c>
      <c r="L6" s="135" t="s">
        <v>21</v>
      </c>
      <c r="M6" s="135" t="s">
        <v>14</v>
      </c>
      <c r="N6" s="135" t="s">
        <v>20</v>
      </c>
    </row>
    <row r="7" spans="1:14" s="13" customFormat="1" ht="21.75" customHeight="1">
      <c r="A7" s="135"/>
      <c r="B7" s="135"/>
      <c r="C7" s="135"/>
      <c r="D7" s="135"/>
      <c r="E7" s="135"/>
      <c r="F7" s="135"/>
      <c r="G7" s="135"/>
      <c r="H7" s="135"/>
      <c r="I7" s="135"/>
      <c r="J7" s="135"/>
      <c r="K7" s="135"/>
      <c r="L7" s="135"/>
      <c r="M7" s="135"/>
      <c r="N7" s="135"/>
    </row>
    <row r="8" spans="1:14" s="13" customFormat="1" ht="21.75" customHeight="1">
      <c r="A8" s="145" t="s">
        <v>58</v>
      </c>
      <c r="B8" s="146"/>
      <c r="C8" s="1"/>
      <c r="D8" s="93">
        <f>D9+D37</f>
        <v>14048.355</v>
      </c>
      <c r="E8" s="93">
        <f aca="true" t="shared" si="0" ref="E8:N8">E9+E37</f>
        <v>0</v>
      </c>
      <c r="F8" s="93">
        <f t="shared" si="0"/>
        <v>2662.725</v>
      </c>
      <c r="G8" s="93">
        <f t="shared" si="0"/>
        <v>2902.5</v>
      </c>
      <c r="H8" s="93">
        <f t="shared" si="0"/>
        <v>1560</v>
      </c>
      <c r="I8" s="93">
        <f t="shared" si="0"/>
        <v>49.175000000000004</v>
      </c>
      <c r="J8" s="93">
        <f t="shared" si="0"/>
        <v>4034.4</v>
      </c>
      <c r="K8" s="93">
        <f t="shared" si="0"/>
        <v>43.73</v>
      </c>
      <c r="L8" s="93">
        <f t="shared" si="0"/>
        <v>145.82500000000002</v>
      </c>
      <c r="M8" s="93">
        <f t="shared" si="0"/>
        <v>2650</v>
      </c>
      <c r="N8" s="93">
        <f t="shared" si="0"/>
        <v>0</v>
      </c>
    </row>
    <row r="9" spans="1:14" s="14" customFormat="1" ht="21" customHeight="1">
      <c r="A9" s="1" t="s">
        <v>4</v>
      </c>
      <c r="B9" s="2" t="s">
        <v>43</v>
      </c>
      <c r="C9" s="1"/>
      <c r="D9" s="4">
        <f>D10+D26</f>
        <v>14048.355</v>
      </c>
      <c r="E9" s="4">
        <f aca="true" t="shared" si="1" ref="E9:N9">E10+E26</f>
        <v>0</v>
      </c>
      <c r="F9" s="4">
        <f t="shared" si="1"/>
        <v>2662.725</v>
      </c>
      <c r="G9" s="4">
        <f t="shared" si="1"/>
        <v>2902.5</v>
      </c>
      <c r="H9" s="4">
        <f t="shared" si="1"/>
        <v>1560</v>
      </c>
      <c r="I9" s="4">
        <f t="shared" si="1"/>
        <v>49.175000000000004</v>
      </c>
      <c r="J9" s="4">
        <f t="shared" si="1"/>
        <v>4034.4</v>
      </c>
      <c r="K9" s="4">
        <f t="shared" si="1"/>
        <v>43.73</v>
      </c>
      <c r="L9" s="4">
        <f t="shared" si="1"/>
        <v>145.82500000000002</v>
      </c>
      <c r="M9" s="4">
        <f t="shared" si="1"/>
        <v>2650</v>
      </c>
      <c r="N9" s="4">
        <f t="shared" si="1"/>
        <v>0</v>
      </c>
    </row>
    <row r="10" spans="1:14" s="13" customFormat="1" ht="21" customHeight="1">
      <c r="A10" s="1">
        <v>1</v>
      </c>
      <c r="B10" s="2" t="s">
        <v>44</v>
      </c>
      <c r="C10" s="1"/>
      <c r="D10" s="4">
        <f>D11+D16+D21</f>
        <v>7493.355</v>
      </c>
      <c r="E10" s="4">
        <f aca="true" t="shared" si="2" ref="E10:N10">E11+E16+E21</f>
        <v>0</v>
      </c>
      <c r="F10" s="4">
        <f t="shared" si="2"/>
        <v>1237.725</v>
      </c>
      <c r="G10" s="4">
        <f t="shared" si="2"/>
        <v>1477.5</v>
      </c>
      <c r="H10" s="4">
        <f t="shared" si="2"/>
        <v>705</v>
      </c>
      <c r="I10" s="4">
        <f t="shared" si="2"/>
        <v>49.175000000000004</v>
      </c>
      <c r="J10" s="4">
        <f t="shared" si="2"/>
        <v>2609.4</v>
      </c>
      <c r="K10" s="4">
        <f t="shared" si="2"/>
        <v>43.73</v>
      </c>
      <c r="L10" s="4">
        <f t="shared" si="2"/>
        <v>145.82500000000002</v>
      </c>
      <c r="M10" s="4">
        <f t="shared" si="2"/>
        <v>1225</v>
      </c>
      <c r="N10" s="4">
        <f t="shared" si="2"/>
        <v>0</v>
      </c>
    </row>
    <row r="11" spans="1:14" s="14" customFormat="1" ht="21" customHeight="1">
      <c r="A11" s="1" t="s">
        <v>27</v>
      </c>
      <c r="B11" s="2" t="s">
        <v>19</v>
      </c>
      <c r="C11" s="1"/>
      <c r="D11" s="36">
        <f aca="true" t="shared" si="3" ref="D11:N11">D12+D13</f>
        <v>2875</v>
      </c>
      <c r="E11" s="11">
        <f t="shared" si="3"/>
        <v>0</v>
      </c>
      <c r="F11" s="11">
        <f t="shared" si="3"/>
        <v>625</v>
      </c>
      <c r="G11" s="11">
        <f t="shared" si="3"/>
        <v>625</v>
      </c>
      <c r="H11" s="11">
        <f t="shared" si="3"/>
        <v>375</v>
      </c>
      <c r="I11" s="11">
        <f t="shared" si="3"/>
        <v>0</v>
      </c>
      <c r="J11" s="23">
        <f t="shared" si="3"/>
        <v>625</v>
      </c>
      <c r="K11" s="36">
        <f t="shared" si="3"/>
        <v>0</v>
      </c>
      <c r="L11" s="23">
        <f t="shared" si="3"/>
        <v>0</v>
      </c>
      <c r="M11" s="11">
        <f t="shared" si="3"/>
        <v>625</v>
      </c>
      <c r="N11" s="11">
        <f t="shared" si="3"/>
        <v>0</v>
      </c>
    </row>
    <row r="12" spans="1:14" s="13" customFormat="1" ht="21" customHeight="1">
      <c r="A12" s="6" t="s">
        <v>6</v>
      </c>
      <c r="B12" s="5" t="s">
        <v>108</v>
      </c>
      <c r="C12" s="22"/>
      <c r="D12" s="27">
        <f>SUM(E12:N12)</f>
        <v>2875</v>
      </c>
      <c r="E12" s="27">
        <f>'2020-KL'!E11*12.5</f>
        <v>0</v>
      </c>
      <c r="F12" s="27">
        <f>'2020-KL'!F11*12.5</f>
        <v>625</v>
      </c>
      <c r="G12" s="27">
        <f>'2020-KL'!G11*12.5</f>
        <v>625</v>
      </c>
      <c r="H12" s="27">
        <f>'2020-KL'!H11*12.5</f>
        <v>375</v>
      </c>
      <c r="I12" s="27">
        <f>'2020-KL'!I11*12.5</f>
        <v>0</v>
      </c>
      <c r="J12" s="27">
        <f>'2020-KL'!J11*12.5</f>
        <v>625</v>
      </c>
      <c r="K12" s="27">
        <f>'2020-KL'!K11*12.5</f>
        <v>0</v>
      </c>
      <c r="L12" s="27">
        <f>'2020-KL'!L11*12.5</f>
        <v>0</v>
      </c>
      <c r="M12" s="27">
        <f>'2020-KL'!M11*12.5</f>
        <v>625</v>
      </c>
      <c r="N12" s="27">
        <f>'2020-KL'!N11*12.5</f>
        <v>0</v>
      </c>
    </row>
    <row r="13" spans="1:14" s="13" customFormat="1" ht="21" customHeight="1">
      <c r="A13" s="7" t="s">
        <v>6</v>
      </c>
      <c r="B13" s="5" t="s">
        <v>107</v>
      </c>
      <c r="C13" s="22"/>
      <c r="D13" s="34">
        <f aca="true" t="shared" si="4" ref="D13:I13">D14+D15</f>
        <v>0</v>
      </c>
      <c r="E13" s="26">
        <f t="shared" si="4"/>
        <v>0</v>
      </c>
      <c r="F13" s="26">
        <f t="shared" si="4"/>
        <v>0</v>
      </c>
      <c r="G13" s="26">
        <f t="shared" si="4"/>
        <v>0</v>
      </c>
      <c r="H13" s="26">
        <f t="shared" si="4"/>
        <v>0</v>
      </c>
      <c r="I13" s="26">
        <f t="shared" si="4"/>
        <v>0</v>
      </c>
      <c r="J13" s="26"/>
      <c r="K13" s="34"/>
      <c r="L13" s="26"/>
      <c r="M13" s="26">
        <f>M14+M15</f>
        <v>0</v>
      </c>
      <c r="N13" s="26">
        <f>N14+N15</f>
        <v>0</v>
      </c>
    </row>
    <row r="14" spans="1:14" s="91" customFormat="1" ht="21" customHeight="1">
      <c r="A14" s="87" t="s">
        <v>109</v>
      </c>
      <c r="B14" s="88" t="s">
        <v>8</v>
      </c>
      <c r="C14" s="22"/>
      <c r="D14" s="34">
        <f>SUM(E14:N14)</f>
        <v>0</v>
      </c>
      <c r="E14" s="90"/>
      <c r="F14" s="89"/>
      <c r="G14" s="89"/>
      <c r="H14" s="89"/>
      <c r="I14" s="89"/>
      <c r="J14" s="89"/>
      <c r="K14" s="26"/>
      <c r="L14" s="3"/>
      <c r="M14" s="89"/>
      <c r="N14" s="90"/>
    </row>
    <row r="15" spans="1:14" s="91" customFormat="1" ht="21" customHeight="1">
      <c r="A15" s="87" t="s">
        <v>109</v>
      </c>
      <c r="B15" s="88" t="s">
        <v>9</v>
      </c>
      <c r="C15" s="22"/>
      <c r="D15" s="34">
        <f>SUM(E15:N15)</f>
        <v>0</v>
      </c>
      <c r="E15" s="90"/>
      <c r="F15" s="89"/>
      <c r="G15" s="89"/>
      <c r="H15" s="89"/>
      <c r="I15" s="89"/>
      <c r="J15" s="92"/>
      <c r="K15" s="34"/>
      <c r="L15" s="3"/>
      <c r="M15" s="89"/>
      <c r="N15" s="90"/>
    </row>
    <row r="16" spans="1:14" s="14" customFormat="1" ht="21" customHeight="1">
      <c r="A16" s="1" t="s">
        <v>29</v>
      </c>
      <c r="B16" s="2" t="s">
        <v>28</v>
      </c>
      <c r="C16" s="1"/>
      <c r="D16" s="36">
        <f aca="true" t="shared" si="5" ref="D16:N16">D17+D18</f>
        <v>4339.73</v>
      </c>
      <c r="E16" s="11">
        <f t="shared" si="5"/>
        <v>0</v>
      </c>
      <c r="F16" s="11">
        <f t="shared" si="5"/>
        <v>550</v>
      </c>
      <c r="G16" s="11">
        <f t="shared" si="5"/>
        <v>770</v>
      </c>
      <c r="H16" s="11">
        <f t="shared" si="5"/>
        <v>330</v>
      </c>
      <c r="I16" s="11">
        <f t="shared" si="5"/>
        <v>0</v>
      </c>
      <c r="J16" s="23">
        <f t="shared" si="5"/>
        <v>1984.4</v>
      </c>
      <c r="K16" s="36">
        <f t="shared" si="5"/>
        <v>36.23</v>
      </c>
      <c r="L16" s="23">
        <f t="shared" si="5"/>
        <v>119.10000000000002</v>
      </c>
      <c r="M16" s="11">
        <f t="shared" si="5"/>
        <v>550</v>
      </c>
      <c r="N16" s="11">
        <f t="shared" si="5"/>
        <v>0</v>
      </c>
    </row>
    <row r="17" spans="1:14" s="13" customFormat="1" ht="21" customHeight="1">
      <c r="A17" s="6" t="s">
        <v>6</v>
      </c>
      <c r="B17" s="5" t="s">
        <v>108</v>
      </c>
      <c r="C17" s="22"/>
      <c r="D17" s="27">
        <f>SUM(E17:N17)</f>
        <v>4180</v>
      </c>
      <c r="E17" s="27">
        <f>'2020-KL'!E16*11</f>
        <v>0</v>
      </c>
      <c r="F17" s="27">
        <f>'2020-KL'!F16*11</f>
        <v>550</v>
      </c>
      <c r="G17" s="27">
        <f>'2020-KL'!G16*11</f>
        <v>770</v>
      </c>
      <c r="H17" s="27">
        <f>'2020-KL'!H16*11</f>
        <v>330</v>
      </c>
      <c r="I17" s="27">
        <f>'2020-KL'!I16*11</f>
        <v>0</v>
      </c>
      <c r="J17" s="27">
        <f>'2020-KL'!J16*11</f>
        <v>1980</v>
      </c>
      <c r="K17" s="27">
        <f>'2020-KL'!K16*11</f>
        <v>0</v>
      </c>
      <c r="L17" s="27">
        <f>'2020-KL'!L16*11</f>
        <v>0</v>
      </c>
      <c r="M17" s="27">
        <f>'2020-KL'!M16*11</f>
        <v>550</v>
      </c>
      <c r="N17" s="27">
        <f>'2020-KL'!N16*11</f>
        <v>0</v>
      </c>
    </row>
    <row r="18" spans="1:14" s="13" customFormat="1" ht="21" customHeight="1">
      <c r="A18" s="7" t="s">
        <v>6</v>
      </c>
      <c r="B18" s="5" t="s">
        <v>107</v>
      </c>
      <c r="C18" s="22"/>
      <c r="D18" s="34">
        <f>D19+D20</f>
        <v>159.73000000000002</v>
      </c>
      <c r="E18" s="26">
        <f>E19+E20</f>
        <v>0</v>
      </c>
      <c r="F18" s="26">
        <f>F19+F20</f>
        <v>0</v>
      </c>
      <c r="G18" s="26">
        <f aca="true" t="shared" si="6" ref="G18:N18">G19+G20</f>
        <v>0</v>
      </c>
      <c r="H18" s="26">
        <f t="shared" si="6"/>
        <v>0</v>
      </c>
      <c r="I18" s="26">
        <f t="shared" si="6"/>
        <v>0</v>
      </c>
      <c r="J18" s="26">
        <f t="shared" si="6"/>
        <v>4.4</v>
      </c>
      <c r="K18" s="26">
        <f t="shared" si="6"/>
        <v>36.23</v>
      </c>
      <c r="L18" s="26">
        <f t="shared" si="6"/>
        <v>119.10000000000002</v>
      </c>
      <c r="M18" s="26">
        <f t="shared" si="6"/>
        <v>0</v>
      </c>
      <c r="N18" s="26">
        <f t="shared" si="6"/>
        <v>0</v>
      </c>
    </row>
    <row r="19" spans="1:14" s="91" customFormat="1" ht="21" customHeight="1">
      <c r="A19" s="87" t="s">
        <v>109</v>
      </c>
      <c r="B19" s="88" t="s">
        <v>8</v>
      </c>
      <c r="C19" s="22"/>
      <c r="D19" s="34">
        <f>SUM(E19:N19)</f>
        <v>150.59000000000003</v>
      </c>
      <c r="E19" s="90">
        <f>'2020-KL'!E18*11</f>
        <v>0</v>
      </c>
      <c r="F19" s="90">
        <f>'2020-KL'!F18*11</f>
        <v>0</v>
      </c>
      <c r="G19" s="90">
        <f>'2020-KL'!G18*11</f>
        <v>0</v>
      </c>
      <c r="H19" s="90">
        <f>'2020-KL'!H18*11</f>
        <v>0</v>
      </c>
      <c r="I19" s="90">
        <f>'2020-KL'!I18*11</f>
        <v>0</v>
      </c>
      <c r="J19" s="90">
        <f>'2020-KL'!J18*11</f>
        <v>0</v>
      </c>
      <c r="K19" s="90">
        <f>'2020-KL'!K18*11</f>
        <v>33</v>
      </c>
      <c r="L19" s="90">
        <f>'2020-KL'!L18*11</f>
        <v>117.59000000000002</v>
      </c>
      <c r="M19" s="90">
        <f>'2020-KL'!M18*11</f>
        <v>0</v>
      </c>
      <c r="N19" s="90">
        <f>'2020-KL'!N18*11</f>
        <v>0</v>
      </c>
    </row>
    <row r="20" spans="1:14" s="91" customFormat="1" ht="21" customHeight="1">
      <c r="A20" s="87" t="s">
        <v>109</v>
      </c>
      <c r="B20" s="88" t="s">
        <v>9</v>
      </c>
      <c r="C20" s="22"/>
      <c r="D20" s="34">
        <f>SUM(E20:N20)</f>
        <v>9.14</v>
      </c>
      <c r="E20" s="90">
        <f>'2020-KL'!E19*1</f>
        <v>0</v>
      </c>
      <c r="F20" s="90">
        <f>'2020-KL'!F19*1</f>
        <v>0</v>
      </c>
      <c r="G20" s="90">
        <f>'2020-KL'!G19*1</f>
        <v>0</v>
      </c>
      <c r="H20" s="90">
        <f>'2020-KL'!H19*1</f>
        <v>0</v>
      </c>
      <c r="I20" s="90">
        <f>'2020-KL'!I19*1</f>
        <v>0</v>
      </c>
      <c r="J20" s="90">
        <f>'2020-KL'!J19*1</f>
        <v>4.4</v>
      </c>
      <c r="K20" s="90">
        <f>'2020-KL'!K19*1</f>
        <v>3.23</v>
      </c>
      <c r="L20" s="90">
        <f>'2020-KL'!L19*1</f>
        <v>1.51</v>
      </c>
      <c r="M20" s="90">
        <f>'2020-KL'!M19*1</f>
        <v>0</v>
      </c>
      <c r="N20" s="90">
        <f>'2020-KL'!N19*1</f>
        <v>0</v>
      </c>
    </row>
    <row r="21" spans="1:14" s="14" customFormat="1" ht="21" customHeight="1">
      <c r="A21" s="1" t="s">
        <v>31</v>
      </c>
      <c r="B21" s="2" t="s">
        <v>32</v>
      </c>
      <c r="C21" s="1"/>
      <c r="D21" s="4">
        <f>SUM(E21:N21)</f>
        <v>278.625</v>
      </c>
      <c r="E21" s="4">
        <f>E22+E23</f>
        <v>0</v>
      </c>
      <c r="F21" s="23">
        <f aca="true" t="shared" si="7" ref="F21:N21">F22+F23</f>
        <v>62.725</v>
      </c>
      <c r="G21" s="11">
        <f t="shared" si="7"/>
        <v>82.5</v>
      </c>
      <c r="H21" s="4">
        <f t="shared" si="7"/>
        <v>0</v>
      </c>
      <c r="I21" s="4">
        <f t="shared" si="7"/>
        <v>49.175000000000004</v>
      </c>
      <c r="J21" s="23">
        <f t="shared" si="7"/>
        <v>0</v>
      </c>
      <c r="K21" s="4">
        <f t="shared" si="7"/>
        <v>7.5</v>
      </c>
      <c r="L21" s="4">
        <f t="shared" si="7"/>
        <v>26.725</v>
      </c>
      <c r="M21" s="11">
        <f t="shared" si="7"/>
        <v>50</v>
      </c>
      <c r="N21" s="4">
        <f t="shared" si="7"/>
        <v>0</v>
      </c>
    </row>
    <row r="22" spans="1:14" s="13" customFormat="1" ht="21" customHeight="1">
      <c r="A22" s="6" t="s">
        <v>6</v>
      </c>
      <c r="B22" s="5" t="s">
        <v>8</v>
      </c>
      <c r="C22" s="22"/>
      <c r="D22" s="34">
        <f>SUM(E22:N22)</f>
        <v>244.4</v>
      </c>
      <c r="E22" s="27">
        <f>'2020-KL'!E21*2.5</f>
        <v>0</v>
      </c>
      <c r="F22" s="27">
        <f>'2020-KL'!F21*2.5</f>
        <v>62.725</v>
      </c>
      <c r="G22" s="27">
        <f>'2020-KL'!G21*2.5</f>
        <v>82.5</v>
      </c>
      <c r="H22" s="27">
        <f>'2020-KL'!H21*2.5</f>
        <v>0</v>
      </c>
      <c r="I22" s="27">
        <f>'2020-KL'!I21*2.5</f>
        <v>49.175000000000004</v>
      </c>
      <c r="J22" s="27">
        <f>'2020-KL'!J21*2.5</f>
        <v>0</v>
      </c>
      <c r="K22" s="27">
        <f>'2020-KL'!K21*2.5</f>
        <v>0</v>
      </c>
      <c r="L22" s="27">
        <f>'2020-KL'!L21*2.5</f>
        <v>0</v>
      </c>
      <c r="M22" s="27">
        <f>'2020-KL'!M21*2.5</f>
        <v>50</v>
      </c>
      <c r="N22" s="27">
        <f>'2020-KL'!N21*2.5</f>
        <v>0</v>
      </c>
    </row>
    <row r="23" spans="1:14" s="13" customFormat="1" ht="21" customHeight="1">
      <c r="A23" s="6" t="s">
        <v>6</v>
      </c>
      <c r="B23" s="5" t="s">
        <v>82</v>
      </c>
      <c r="C23" s="22"/>
      <c r="D23" s="34">
        <f>D24+D25</f>
        <v>34.225</v>
      </c>
      <c r="E23" s="34">
        <f>E24+E25</f>
        <v>0</v>
      </c>
      <c r="F23" s="34">
        <f aca="true" t="shared" si="8" ref="F23:N23">F24+F25</f>
        <v>0</v>
      </c>
      <c r="G23" s="34">
        <f t="shared" si="8"/>
        <v>0</v>
      </c>
      <c r="H23" s="34">
        <f t="shared" si="8"/>
        <v>0</v>
      </c>
      <c r="I23" s="34">
        <f t="shared" si="8"/>
        <v>0</v>
      </c>
      <c r="J23" s="26">
        <f t="shared" si="8"/>
        <v>0</v>
      </c>
      <c r="K23" s="34">
        <f t="shared" si="8"/>
        <v>7.5</v>
      </c>
      <c r="L23" s="34">
        <f t="shared" si="8"/>
        <v>26.725</v>
      </c>
      <c r="M23" s="34">
        <f t="shared" si="8"/>
        <v>0</v>
      </c>
      <c r="N23" s="34">
        <f t="shared" si="8"/>
        <v>0</v>
      </c>
    </row>
    <row r="24" spans="1:14" s="13" customFormat="1" ht="21" customHeight="1">
      <c r="A24" s="6" t="s">
        <v>109</v>
      </c>
      <c r="B24" s="5" t="s">
        <v>30</v>
      </c>
      <c r="C24" s="22"/>
      <c r="D24" s="34">
        <f>SUM(E24:N24)</f>
        <v>34.225</v>
      </c>
      <c r="E24" s="3">
        <f>'2020-KL'!E18*2.5</f>
        <v>0</v>
      </c>
      <c r="F24" s="3">
        <f>'2020-KL'!F18*2.5</f>
        <v>0</v>
      </c>
      <c r="G24" s="3">
        <f>'2020-KL'!G18*2.5</f>
        <v>0</v>
      </c>
      <c r="H24" s="3">
        <f>'2020-KL'!H18*2.5</f>
        <v>0</v>
      </c>
      <c r="I24" s="3">
        <f>'2020-KL'!I18*2.5</f>
        <v>0</v>
      </c>
      <c r="J24" s="3">
        <f>'2020-KL'!J18*2.5</f>
        <v>0</v>
      </c>
      <c r="K24" s="3">
        <f>'2020-KL'!K18*2.5</f>
        <v>7.5</v>
      </c>
      <c r="L24" s="3">
        <f>'2020-KL'!L18*2.5</f>
        <v>26.725</v>
      </c>
      <c r="M24" s="3">
        <f>'2020-KL'!M18*2.5</f>
        <v>0</v>
      </c>
      <c r="N24" s="3">
        <f>'2020-KL'!N18*2.5</f>
        <v>0</v>
      </c>
    </row>
    <row r="25" spans="1:14" s="13" customFormat="1" ht="21" customHeight="1">
      <c r="A25" s="6" t="s">
        <v>109</v>
      </c>
      <c r="B25" s="5" t="s">
        <v>33</v>
      </c>
      <c r="C25" s="22"/>
      <c r="D25" s="3">
        <f>SUM(E25:N25)</f>
        <v>0</v>
      </c>
      <c r="E25" s="3">
        <f>'2020-KL'!E24*0.7</f>
        <v>0</v>
      </c>
      <c r="F25" s="3">
        <f>'2020-KL'!F24*0.7</f>
        <v>0</v>
      </c>
      <c r="G25" s="3">
        <f>'2020-KL'!G24*0.7</f>
        <v>0</v>
      </c>
      <c r="H25" s="3">
        <f>'2020-KL'!H24*0.7</f>
        <v>0</v>
      </c>
      <c r="I25" s="3">
        <f>'2020-KL'!I24*0.7</f>
        <v>0</v>
      </c>
      <c r="J25" s="3">
        <f>'2020-KL'!J24*0.7</f>
        <v>0</v>
      </c>
      <c r="K25" s="3">
        <f>'2020-KL'!K24*0.7</f>
        <v>0</v>
      </c>
      <c r="L25" s="3">
        <f>'2020-KL'!L24*0.7</f>
        <v>0</v>
      </c>
      <c r="M25" s="3">
        <f>'2020-KL'!M24*0.7</f>
        <v>0</v>
      </c>
      <c r="N25" s="3">
        <f>'2020-KL'!N24*0.7</f>
        <v>0</v>
      </c>
    </row>
    <row r="26" spans="1:14" s="14" customFormat="1" ht="21" customHeight="1">
      <c r="A26" s="1">
        <v>2</v>
      </c>
      <c r="B26" s="2" t="s">
        <v>34</v>
      </c>
      <c r="C26" s="1"/>
      <c r="D26" s="11">
        <f aca="true" t="shared" si="9" ref="D26:N26">D27+D28</f>
        <v>6555</v>
      </c>
      <c r="E26" s="11">
        <f t="shared" si="9"/>
        <v>0</v>
      </c>
      <c r="F26" s="11">
        <f t="shared" si="9"/>
        <v>1425</v>
      </c>
      <c r="G26" s="11">
        <f t="shared" si="9"/>
        <v>1425</v>
      </c>
      <c r="H26" s="11">
        <f t="shared" si="9"/>
        <v>855</v>
      </c>
      <c r="I26" s="11">
        <f t="shared" si="9"/>
        <v>0</v>
      </c>
      <c r="J26" s="23">
        <f t="shared" si="9"/>
        <v>1425</v>
      </c>
      <c r="K26" s="36">
        <f t="shared" si="9"/>
        <v>0</v>
      </c>
      <c r="L26" s="23">
        <f t="shared" si="9"/>
        <v>0</v>
      </c>
      <c r="M26" s="11">
        <f t="shared" si="9"/>
        <v>1425</v>
      </c>
      <c r="N26" s="11">
        <f t="shared" si="9"/>
        <v>0</v>
      </c>
    </row>
    <row r="27" spans="1:14" s="13" customFormat="1" ht="21" customHeight="1">
      <c r="A27" s="6" t="s">
        <v>6</v>
      </c>
      <c r="B27" s="5" t="s">
        <v>108</v>
      </c>
      <c r="C27" s="22"/>
      <c r="D27" s="27">
        <f>SUM(E27:N27)</f>
        <v>6555</v>
      </c>
      <c r="E27" s="27">
        <f>'2020-KL'!E26*28.5</f>
        <v>0</v>
      </c>
      <c r="F27" s="27">
        <f>'2020-KL'!F26*28.5</f>
        <v>1425</v>
      </c>
      <c r="G27" s="27">
        <f>'2020-KL'!G26*28.5</f>
        <v>1425</v>
      </c>
      <c r="H27" s="27">
        <f>'2020-KL'!H26*28.5</f>
        <v>855</v>
      </c>
      <c r="I27" s="27">
        <f>'2020-KL'!I26*28.5</f>
        <v>0</v>
      </c>
      <c r="J27" s="27">
        <f>'2020-KL'!J26*28.5</f>
        <v>1425</v>
      </c>
      <c r="K27" s="27">
        <f>'2020-KL'!K26*28.5</f>
        <v>0</v>
      </c>
      <c r="L27" s="27">
        <f>'2020-KL'!L26*28.5</f>
        <v>0</v>
      </c>
      <c r="M27" s="27">
        <f>'2020-KL'!M26*28.5</f>
        <v>1425</v>
      </c>
      <c r="N27" s="27">
        <f>'2020-KL'!N26*28.5</f>
        <v>0</v>
      </c>
    </row>
    <row r="28" spans="1:14" s="13" customFormat="1" ht="21" customHeight="1">
      <c r="A28" s="7" t="s">
        <v>6</v>
      </c>
      <c r="B28" s="5" t="s">
        <v>107</v>
      </c>
      <c r="C28" s="22"/>
      <c r="D28" s="34">
        <f aca="true" t="shared" si="10" ref="D28:I28">D29+D30</f>
        <v>0</v>
      </c>
      <c r="E28" s="26">
        <f t="shared" si="10"/>
        <v>0</v>
      </c>
      <c r="F28" s="26">
        <f t="shared" si="10"/>
        <v>0</v>
      </c>
      <c r="G28" s="26">
        <f t="shared" si="10"/>
        <v>0</v>
      </c>
      <c r="H28" s="26">
        <f t="shared" si="10"/>
        <v>0</v>
      </c>
      <c r="I28" s="26">
        <f t="shared" si="10"/>
        <v>0</v>
      </c>
      <c r="J28" s="26"/>
      <c r="K28" s="34"/>
      <c r="L28" s="26"/>
      <c r="M28" s="26">
        <f>M29+M30</f>
        <v>0</v>
      </c>
      <c r="N28" s="26">
        <f>N29+N30</f>
        <v>0</v>
      </c>
    </row>
    <row r="29" spans="1:14" s="91" customFormat="1" ht="21" customHeight="1">
      <c r="A29" s="87" t="s">
        <v>109</v>
      </c>
      <c r="B29" s="88" t="s">
        <v>8</v>
      </c>
      <c r="C29" s="22"/>
      <c r="D29" s="34">
        <f>SUM(E29:N29)</f>
        <v>0</v>
      </c>
      <c r="E29" s="90"/>
      <c r="F29" s="89"/>
      <c r="G29" s="89"/>
      <c r="H29" s="89"/>
      <c r="I29" s="89"/>
      <c r="J29" s="89"/>
      <c r="K29" s="26"/>
      <c r="L29" s="3"/>
      <c r="M29" s="89"/>
      <c r="N29" s="90"/>
    </row>
    <row r="30" spans="1:14" s="91" customFormat="1" ht="21" customHeight="1">
      <c r="A30" s="87" t="s">
        <v>109</v>
      </c>
      <c r="B30" s="88" t="s">
        <v>9</v>
      </c>
      <c r="C30" s="22"/>
      <c r="D30" s="34">
        <f>SUM(E30:N30)</f>
        <v>0</v>
      </c>
      <c r="E30" s="90"/>
      <c r="F30" s="89"/>
      <c r="G30" s="89"/>
      <c r="H30" s="89"/>
      <c r="I30" s="89"/>
      <c r="J30" s="92"/>
      <c r="K30" s="34"/>
      <c r="L30" s="3"/>
      <c r="M30" s="89"/>
      <c r="N30" s="90"/>
    </row>
    <row r="31" spans="1:14" s="14" customFormat="1" ht="18.75" customHeight="1">
      <c r="A31" s="1">
        <v>3</v>
      </c>
      <c r="B31" s="2" t="s">
        <v>103</v>
      </c>
      <c r="C31" s="12"/>
      <c r="D31" s="24">
        <f>D32+D33</f>
        <v>880.30065</v>
      </c>
      <c r="E31" s="24">
        <f>E32+E33</f>
        <v>0</v>
      </c>
      <c r="F31" s="24">
        <f>F32+F33</f>
        <v>179.63175</v>
      </c>
      <c r="G31" s="24">
        <f aca="true" t="shared" si="11" ref="G31:M31">G32+G33</f>
        <v>186.82500000000002</v>
      </c>
      <c r="H31" s="12">
        <f t="shared" si="11"/>
        <v>106.65</v>
      </c>
      <c r="I31" s="24">
        <f t="shared" si="11"/>
        <v>1.4752500000000002</v>
      </c>
      <c r="J31" s="24">
        <f t="shared" si="11"/>
        <v>220.782</v>
      </c>
      <c r="K31" s="24">
        <f t="shared" si="11"/>
        <v>1.3118999999999998</v>
      </c>
      <c r="L31" s="24">
        <f t="shared" si="11"/>
        <v>4.374750000000001</v>
      </c>
      <c r="M31" s="24">
        <f t="shared" si="11"/>
        <v>179.25</v>
      </c>
      <c r="N31" s="1"/>
    </row>
    <row r="32" spans="1:14" s="14" customFormat="1" ht="18.75" customHeight="1">
      <c r="A32" s="6" t="s">
        <v>6</v>
      </c>
      <c r="B32" s="5" t="s">
        <v>112</v>
      </c>
      <c r="C32" s="27"/>
      <c r="D32" s="25">
        <f>SUM(E32:N32)</f>
        <v>421.45065</v>
      </c>
      <c r="E32" s="25">
        <f>3%*(E10+E26)</f>
        <v>0</v>
      </c>
      <c r="F32" s="25">
        <f aca="true" t="shared" si="12" ref="F32:N32">3%*(F10+F26)</f>
        <v>79.88175</v>
      </c>
      <c r="G32" s="25">
        <f t="shared" si="12"/>
        <v>87.075</v>
      </c>
      <c r="H32" s="25">
        <f t="shared" si="12"/>
        <v>46.8</v>
      </c>
      <c r="I32" s="25">
        <f t="shared" si="12"/>
        <v>1.4752500000000002</v>
      </c>
      <c r="J32" s="25">
        <f t="shared" si="12"/>
        <v>121.032</v>
      </c>
      <c r="K32" s="25">
        <f t="shared" si="12"/>
        <v>1.3118999999999998</v>
      </c>
      <c r="L32" s="25">
        <f t="shared" si="12"/>
        <v>4.374750000000001</v>
      </c>
      <c r="M32" s="25">
        <f t="shared" si="12"/>
        <v>79.5</v>
      </c>
      <c r="N32" s="25">
        <f t="shared" si="12"/>
        <v>0</v>
      </c>
    </row>
    <row r="33" spans="1:14" s="14" customFormat="1" ht="27.75" customHeight="1">
      <c r="A33" s="6" t="s">
        <v>6</v>
      </c>
      <c r="B33" s="5" t="s">
        <v>57</v>
      </c>
      <c r="C33" s="27"/>
      <c r="D33" s="25">
        <f>SUM(E33:N33)</f>
        <v>458.85</v>
      </c>
      <c r="E33" s="3">
        <f>7%*E26</f>
        <v>0</v>
      </c>
      <c r="F33" s="3">
        <f aca="true" t="shared" si="13" ref="F33:N33">7%*F26</f>
        <v>99.75000000000001</v>
      </c>
      <c r="G33" s="3">
        <f t="shared" si="13"/>
        <v>99.75000000000001</v>
      </c>
      <c r="H33" s="3">
        <f t="shared" si="13"/>
        <v>59.85000000000001</v>
      </c>
      <c r="I33" s="3">
        <f t="shared" si="13"/>
        <v>0</v>
      </c>
      <c r="J33" s="3">
        <f t="shared" si="13"/>
        <v>99.75000000000001</v>
      </c>
      <c r="K33" s="3">
        <f t="shared" si="13"/>
        <v>0</v>
      </c>
      <c r="L33" s="3">
        <f t="shared" si="13"/>
        <v>0</v>
      </c>
      <c r="M33" s="3">
        <f t="shared" si="13"/>
        <v>99.75000000000001</v>
      </c>
      <c r="N33" s="3">
        <f t="shared" si="13"/>
        <v>0</v>
      </c>
    </row>
    <row r="34" spans="1:14" s="14" customFormat="1" ht="18.75" customHeight="1">
      <c r="A34" s="1"/>
      <c r="B34" s="2"/>
      <c r="C34" s="12"/>
      <c r="D34" s="24"/>
      <c r="E34" s="24"/>
      <c r="F34" s="24"/>
      <c r="G34" s="24"/>
      <c r="H34" s="12"/>
      <c r="I34" s="24"/>
      <c r="J34" s="24"/>
      <c r="K34" s="24"/>
      <c r="L34" s="24"/>
      <c r="M34" s="24"/>
      <c r="N34" s="1"/>
    </row>
    <row r="35" spans="1:14" s="14" customFormat="1" ht="18.75" customHeight="1">
      <c r="A35" s="6"/>
      <c r="B35" s="5"/>
      <c r="C35" s="27"/>
      <c r="D35" s="25"/>
      <c r="E35" s="25"/>
      <c r="F35" s="25"/>
      <c r="G35" s="25"/>
      <c r="H35" s="25"/>
      <c r="I35" s="25"/>
      <c r="J35" s="25"/>
      <c r="K35" s="25"/>
      <c r="L35" s="25"/>
      <c r="M35" s="25"/>
      <c r="N35" s="25"/>
    </row>
    <row r="36" spans="1:14" s="14" customFormat="1" ht="27.75" customHeight="1">
      <c r="A36" s="6"/>
      <c r="B36" s="5"/>
      <c r="C36" s="27"/>
      <c r="D36" s="25"/>
      <c r="E36" s="3"/>
      <c r="F36" s="3"/>
      <c r="G36" s="3"/>
      <c r="H36" s="3"/>
      <c r="I36" s="3"/>
      <c r="J36" s="3"/>
      <c r="K36" s="3"/>
      <c r="L36" s="3"/>
      <c r="M36" s="3"/>
      <c r="N36" s="3"/>
    </row>
    <row r="37" spans="1:14" s="14" customFormat="1" ht="19.5" customHeight="1">
      <c r="A37" s="1" t="s">
        <v>10</v>
      </c>
      <c r="B37" s="2" t="s">
        <v>78</v>
      </c>
      <c r="C37" s="1"/>
      <c r="D37" s="11">
        <f>SUM(E37:N37)</f>
        <v>0</v>
      </c>
      <c r="E37" s="11">
        <f>SUM(F37:O37)</f>
        <v>0</v>
      </c>
      <c r="F37" s="11">
        <f aca="true" t="shared" si="14" ref="F37:N37">SUM(G37:O37)</f>
        <v>0</v>
      </c>
      <c r="G37" s="11">
        <f t="shared" si="14"/>
        <v>0</v>
      </c>
      <c r="H37" s="11">
        <f t="shared" si="14"/>
        <v>0</v>
      </c>
      <c r="I37" s="11">
        <f t="shared" si="14"/>
        <v>0</v>
      </c>
      <c r="J37" s="11">
        <f t="shared" si="14"/>
        <v>0</v>
      </c>
      <c r="K37" s="11">
        <f t="shared" si="14"/>
        <v>0</v>
      </c>
      <c r="L37" s="11">
        <f t="shared" si="14"/>
        <v>0</v>
      </c>
      <c r="M37" s="11">
        <f t="shared" si="14"/>
        <v>0</v>
      </c>
      <c r="N37" s="11">
        <f t="shared" si="14"/>
        <v>0</v>
      </c>
    </row>
  </sheetData>
  <sheetProtection/>
  <mergeCells count="21">
    <mergeCell ref="N6:N7"/>
    <mergeCell ref="A5:A7"/>
    <mergeCell ref="E5:N5"/>
    <mergeCell ref="J6:J7"/>
    <mergeCell ref="L6:L7"/>
    <mergeCell ref="M6:M7"/>
    <mergeCell ref="C5:C7"/>
    <mergeCell ref="I6:I7"/>
    <mergeCell ref="D5:D7"/>
    <mergeCell ref="K6:K7"/>
    <mergeCell ref="B5:B7"/>
    <mergeCell ref="A1:B1"/>
    <mergeCell ref="A2:N2"/>
    <mergeCell ref="A3:N3"/>
    <mergeCell ref="A4:L4"/>
    <mergeCell ref="M4:N4"/>
    <mergeCell ref="A8:B8"/>
    <mergeCell ref="E6:E7"/>
    <mergeCell ref="F6:F7"/>
    <mergeCell ref="G6:G7"/>
    <mergeCell ref="H6:H7"/>
  </mergeCells>
  <printOptions/>
  <pageMargins left="0.5" right="0.25" top="0.5" bottom="0.25" header="0" footer="0"/>
  <pageSetup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selection activeCell="B16" sqref="B16"/>
    </sheetView>
  </sheetViews>
  <sheetFormatPr defaultColWidth="9.140625" defaultRowHeight="12.75"/>
  <cols>
    <col min="1" max="1" width="6.7109375" style="41" customWidth="1"/>
    <col min="2" max="2" width="42.00390625" style="39" customWidth="1"/>
    <col min="3" max="3" width="16.7109375" style="41" customWidth="1"/>
    <col min="4" max="8" width="14.7109375" style="41" customWidth="1"/>
    <col min="9" max="16384" width="9.140625" style="39" customWidth="1"/>
  </cols>
  <sheetData>
    <row r="1" spans="1:2" ht="18" customHeight="1">
      <c r="A1" s="148" t="s">
        <v>91</v>
      </c>
      <c r="B1" s="148"/>
    </row>
    <row r="2" spans="1:8" ht="15.75">
      <c r="A2" s="149" t="s">
        <v>93</v>
      </c>
      <c r="B2" s="149"/>
      <c r="C2" s="149"/>
      <c r="D2" s="149"/>
      <c r="E2" s="149"/>
      <c r="F2" s="149"/>
      <c r="G2" s="149"/>
      <c r="H2" s="149"/>
    </row>
    <row r="3" ht="15.75">
      <c r="H3" s="73" t="s">
        <v>98</v>
      </c>
    </row>
    <row r="4" spans="1:8" s="40" customFormat="1" ht="21.75" customHeight="1">
      <c r="A4" s="147" t="s">
        <v>59</v>
      </c>
      <c r="B4" s="147" t="s">
        <v>60</v>
      </c>
      <c r="C4" s="147" t="s">
        <v>61</v>
      </c>
      <c r="D4" s="147" t="s">
        <v>62</v>
      </c>
      <c r="E4" s="147"/>
      <c r="F4" s="147"/>
      <c r="G4" s="147"/>
      <c r="H4" s="147"/>
    </row>
    <row r="5" spans="1:8" s="40" customFormat="1" ht="21.75" customHeight="1">
      <c r="A5" s="147"/>
      <c r="B5" s="147"/>
      <c r="C5" s="147"/>
      <c r="D5" s="74" t="s">
        <v>63</v>
      </c>
      <c r="E5" s="74" t="s">
        <v>64</v>
      </c>
      <c r="F5" s="74" t="s">
        <v>65</v>
      </c>
      <c r="G5" s="74" t="s">
        <v>66</v>
      </c>
      <c r="H5" s="74" t="s">
        <v>67</v>
      </c>
    </row>
    <row r="6" spans="1:8" s="40" customFormat="1" ht="21.75" customHeight="1">
      <c r="A6" s="147" t="s">
        <v>58</v>
      </c>
      <c r="B6" s="147"/>
      <c r="C6" s="75" t="e">
        <f>SUM(D6:H6)</f>
        <v>#REF!</v>
      </c>
      <c r="D6" s="75">
        <f>D7+D18</f>
        <v>3901</v>
      </c>
      <c r="E6" s="75">
        <f>E7+E18</f>
        <v>8039.85723</v>
      </c>
      <c r="F6" s="75" t="e">
        <f>F7+F18</f>
        <v>#REF!</v>
      </c>
      <c r="G6" s="75">
        <f>G7+G18</f>
        <v>13793.768690000003</v>
      </c>
      <c r="H6" s="75">
        <f>H7+H18</f>
        <v>14048.355000000001</v>
      </c>
    </row>
    <row r="7" spans="1:8" s="40" customFormat="1" ht="21.75" customHeight="1">
      <c r="A7" s="74" t="s">
        <v>4</v>
      </c>
      <c r="B7" s="76" t="s">
        <v>77</v>
      </c>
      <c r="C7" s="75" t="e">
        <f>SUM(D7:H7)</f>
        <v>#REF!</v>
      </c>
      <c r="D7" s="75">
        <f>SUM(D8:D17)</f>
        <v>1989</v>
      </c>
      <c r="E7" s="75">
        <f>SUM(E8:E17)</f>
        <v>7951.85723</v>
      </c>
      <c r="F7" s="75" t="e">
        <f>SUM(F8:F17)</f>
        <v>#REF!</v>
      </c>
      <c r="G7" s="75">
        <f>SUM(G8:G17)</f>
        <v>13793.768690000003</v>
      </c>
      <c r="H7" s="75">
        <f>SUM(H8:H17)</f>
        <v>14048.355000000001</v>
      </c>
    </row>
    <row r="8" spans="1:8" ht="21.75" customHeight="1">
      <c r="A8" s="77">
        <v>1</v>
      </c>
      <c r="B8" s="78" t="s">
        <v>68</v>
      </c>
      <c r="C8" s="79"/>
      <c r="D8" s="80">
        <v>288</v>
      </c>
      <c r="E8" s="80">
        <f>'2017-von'!E9</f>
        <v>1726.86838</v>
      </c>
      <c r="F8" s="80" t="e">
        <f>#REF!</f>
        <v>#REF!</v>
      </c>
      <c r="G8" s="80">
        <f>'2019-Von'!F9</f>
        <v>2652.7389000000003</v>
      </c>
      <c r="H8" s="80">
        <f>'2020-Von'!F9</f>
        <v>2662.725</v>
      </c>
    </row>
    <row r="9" spans="1:8" ht="21.75" customHeight="1">
      <c r="A9" s="77">
        <v>2</v>
      </c>
      <c r="B9" s="78" t="s">
        <v>69</v>
      </c>
      <c r="C9" s="79"/>
      <c r="D9" s="80">
        <v>952</v>
      </c>
      <c r="E9" s="80">
        <f>'2017-von'!F9</f>
        <v>2955.2733999999996</v>
      </c>
      <c r="F9" s="80" t="e">
        <f>#REF!</f>
        <v>#REF!</v>
      </c>
      <c r="G9" s="80">
        <f>'2019-Von'!G9</f>
        <v>2893.11</v>
      </c>
      <c r="H9" s="80">
        <f>'2020-Von'!G9</f>
        <v>2902.5</v>
      </c>
    </row>
    <row r="10" spans="1:8" ht="21.75" customHeight="1">
      <c r="A10" s="77">
        <v>3</v>
      </c>
      <c r="B10" s="78" t="s">
        <v>70</v>
      </c>
      <c r="C10" s="79"/>
      <c r="D10" s="80">
        <v>356</v>
      </c>
      <c r="E10" s="80">
        <f>'2017-von'!G9</f>
        <v>412.54796000000005</v>
      </c>
      <c r="F10" s="80" t="e">
        <f>#REF!</f>
        <v>#REF!</v>
      </c>
      <c r="G10" s="80">
        <f>'2019-Von'!H8</f>
        <v>1384.2755</v>
      </c>
      <c r="H10" s="80">
        <f>'2020-Von'!H9</f>
        <v>1560</v>
      </c>
    </row>
    <row r="11" spans="1:8" ht="21.75" customHeight="1">
      <c r="A11" s="77">
        <v>4</v>
      </c>
      <c r="B11" s="78" t="s">
        <v>71</v>
      </c>
      <c r="C11" s="79"/>
      <c r="D11" s="80">
        <v>0</v>
      </c>
      <c r="E11" s="80">
        <f>'2017-von'!H9</f>
        <v>627</v>
      </c>
      <c r="F11" s="80" t="e">
        <f>#REF!</f>
        <v>#REF!</v>
      </c>
      <c r="G11" s="80">
        <f>'2019-Von'!I8</f>
        <v>222.8611</v>
      </c>
      <c r="H11" s="80">
        <f>'2020-Von'!I9</f>
        <v>49.175000000000004</v>
      </c>
    </row>
    <row r="12" spans="1:8" ht="21.75" customHeight="1">
      <c r="A12" s="77">
        <v>5</v>
      </c>
      <c r="B12" s="78" t="s">
        <v>72</v>
      </c>
      <c r="C12" s="79"/>
      <c r="D12" s="80"/>
      <c r="E12" s="80">
        <f>'2017-von'!I9</f>
        <v>513.768</v>
      </c>
      <c r="F12" s="80" t="e">
        <f>#REF!</f>
        <v>#REF!</v>
      </c>
      <c r="G12" s="80">
        <f>'2019-Von'!J9</f>
        <v>3969.4806</v>
      </c>
      <c r="H12" s="80">
        <f>'2020-Von'!J9</f>
        <v>4034.4</v>
      </c>
    </row>
    <row r="13" spans="1:8" ht="21.75" customHeight="1">
      <c r="A13" s="77">
        <v>6</v>
      </c>
      <c r="B13" s="78" t="s">
        <v>73</v>
      </c>
      <c r="C13" s="79"/>
      <c r="D13" s="80"/>
      <c r="E13" s="80">
        <f>'2017-von'!J9</f>
        <v>320.9864</v>
      </c>
      <c r="F13" s="80" t="e">
        <f>#REF!</f>
        <v>#REF!</v>
      </c>
      <c r="G13" s="80">
        <f>'2019-Von'!K9</f>
        <v>44.922419999999995</v>
      </c>
      <c r="H13" s="80">
        <f>'2020-Von'!K9</f>
        <v>43.73</v>
      </c>
    </row>
    <row r="14" spans="1:8" ht="21.75" customHeight="1">
      <c r="A14" s="77">
        <v>7</v>
      </c>
      <c r="B14" s="78" t="s">
        <v>74</v>
      </c>
      <c r="C14" s="79"/>
      <c r="D14" s="80">
        <v>170</v>
      </c>
      <c r="E14" s="80">
        <f>'2017-von'!K9</f>
        <v>564.6142</v>
      </c>
      <c r="F14" s="80" t="e">
        <f>#REF!</f>
        <v>#REF!</v>
      </c>
      <c r="G14" s="80">
        <f>'2019-Von'!L9</f>
        <v>164.70936</v>
      </c>
      <c r="H14" s="80">
        <f>'2020-Von'!L9</f>
        <v>145.82500000000002</v>
      </c>
    </row>
    <row r="15" spans="1:8" ht="21.75" customHeight="1">
      <c r="A15" s="77">
        <v>8</v>
      </c>
      <c r="B15" s="78" t="s">
        <v>75</v>
      </c>
      <c r="C15" s="79"/>
      <c r="D15" s="80">
        <v>211</v>
      </c>
      <c r="E15" s="80">
        <f>'2017-von'!L9</f>
        <v>804.34334</v>
      </c>
      <c r="F15" s="80" t="e">
        <f>#REF!</f>
        <v>#REF!</v>
      </c>
      <c r="G15" s="80">
        <f>'2019-Von'!M9</f>
        <v>2461.67081</v>
      </c>
      <c r="H15" s="80">
        <f>'2020-Von'!M9</f>
        <v>2650</v>
      </c>
    </row>
    <row r="16" spans="1:8" s="104" customFormat="1" ht="21.75" customHeight="1">
      <c r="A16" s="100">
        <v>9</v>
      </c>
      <c r="B16" s="101" t="s">
        <v>76</v>
      </c>
      <c r="C16" s="102"/>
      <c r="D16" s="103">
        <v>0</v>
      </c>
      <c r="E16" s="103">
        <f>'2017-von'!M9</f>
        <v>0</v>
      </c>
      <c r="F16" s="89" t="e">
        <f>#REF!</f>
        <v>#REF!</v>
      </c>
      <c r="G16" s="89">
        <f>'2019-Von'!N9</f>
        <v>0</v>
      </c>
      <c r="H16" s="89">
        <f>'2020-Von'!N9</f>
        <v>0</v>
      </c>
    </row>
    <row r="17" spans="1:8" s="104" customFormat="1" ht="21.75" customHeight="1">
      <c r="A17" s="100">
        <v>10</v>
      </c>
      <c r="B17" s="101" t="s">
        <v>111</v>
      </c>
      <c r="C17" s="102"/>
      <c r="D17" s="103">
        <v>12</v>
      </c>
      <c r="E17" s="103">
        <f>'2017-von'!D9</f>
        <v>26.45555</v>
      </c>
      <c r="F17" s="89" t="e">
        <f>#REF!</f>
        <v>#REF!</v>
      </c>
      <c r="G17" s="89">
        <f>'2019-Von'!E9</f>
        <v>0</v>
      </c>
      <c r="H17" s="89">
        <f>'2020-Von'!E9</f>
        <v>0</v>
      </c>
    </row>
    <row r="18" spans="1:8" s="40" customFormat="1" ht="21.75" customHeight="1">
      <c r="A18" s="74" t="s">
        <v>10</v>
      </c>
      <c r="B18" s="81" t="s">
        <v>78</v>
      </c>
      <c r="C18" s="75" t="e">
        <f>SUM(D18:H18)</f>
        <v>#REF!</v>
      </c>
      <c r="D18" s="75">
        <f>2000-88</f>
        <v>1912</v>
      </c>
      <c r="E18" s="75">
        <f>'2017-von'!C36</f>
        <v>88</v>
      </c>
      <c r="F18" s="11" t="e">
        <f>#REF!</f>
        <v>#REF!</v>
      </c>
      <c r="G18" s="11">
        <f>'2019-Von'!D33</f>
        <v>0</v>
      </c>
      <c r="H18" s="11">
        <f>'2020-Von'!D37</f>
        <v>0</v>
      </c>
    </row>
    <row r="19" spans="3:4" ht="15.75">
      <c r="C19" s="42"/>
      <c r="D19" s="42"/>
    </row>
    <row r="20" ht="15.75">
      <c r="D20" s="42"/>
    </row>
  </sheetData>
  <sheetProtection/>
  <mergeCells count="7">
    <mergeCell ref="A6:B6"/>
    <mergeCell ref="A1:B1"/>
    <mergeCell ref="A2:H2"/>
    <mergeCell ref="D4:H4"/>
    <mergeCell ref="C4:C5"/>
    <mergeCell ref="B4:B5"/>
    <mergeCell ref="A4:A5"/>
  </mergeCells>
  <printOptions/>
  <pageMargins left="0.75" right="0.25" top="0.5" bottom="0.5"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N14"/>
  <sheetViews>
    <sheetView zoomScalePageLayoutView="0" workbookViewId="0" topLeftCell="A1">
      <selection activeCell="E7" sqref="E7"/>
    </sheetView>
  </sheetViews>
  <sheetFormatPr defaultColWidth="9.140625" defaultRowHeight="12.75"/>
  <cols>
    <col min="1" max="1" width="5.421875" style="17" customWidth="1"/>
    <col min="2" max="2" width="30.7109375" style="20" customWidth="1"/>
    <col min="3" max="3" width="14.7109375" style="70" customWidth="1"/>
    <col min="4" max="4" width="14.7109375" style="65" customWidth="1"/>
    <col min="5" max="6" width="12.7109375" style="65" customWidth="1"/>
    <col min="7" max="40" width="9.140625" style="65" customWidth="1"/>
    <col min="41" max="16384" width="9.140625" style="18" customWidth="1"/>
  </cols>
  <sheetData>
    <row r="1" spans="1:7" ht="18" customHeight="1">
      <c r="A1" s="151" t="s">
        <v>92</v>
      </c>
      <c r="B1" s="151"/>
      <c r="C1" s="64"/>
      <c r="D1" s="64"/>
      <c r="E1" s="64"/>
      <c r="F1" s="64"/>
      <c r="G1" s="64"/>
    </row>
    <row r="2" spans="1:7" ht="36.75" customHeight="1">
      <c r="A2" s="152" t="s">
        <v>99</v>
      </c>
      <c r="B2" s="152"/>
      <c r="C2" s="152"/>
      <c r="D2" s="152"/>
      <c r="E2" s="152"/>
      <c r="F2" s="152"/>
      <c r="G2" s="64"/>
    </row>
    <row r="3" spans="2:7" ht="15.75" customHeight="1">
      <c r="B3" s="18"/>
      <c r="C3" s="18"/>
      <c r="D3" s="64"/>
      <c r="E3" s="150" t="s">
        <v>98</v>
      </c>
      <c r="F3" s="150"/>
      <c r="G3" s="64"/>
    </row>
    <row r="4" spans="1:40" s="46" customFormat="1" ht="30" customHeight="1">
      <c r="A4" s="155" t="s">
        <v>0</v>
      </c>
      <c r="B4" s="155" t="s">
        <v>94</v>
      </c>
      <c r="C4" s="158" t="s">
        <v>96</v>
      </c>
      <c r="D4" s="135" t="s">
        <v>79</v>
      </c>
      <c r="E4" s="135"/>
      <c r="F4" s="135"/>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row>
    <row r="5" spans="1:40" s="46" customFormat="1" ht="19.5" customHeight="1">
      <c r="A5" s="156"/>
      <c r="B5" s="156"/>
      <c r="C5" s="159"/>
      <c r="D5" s="155" t="s">
        <v>61</v>
      </c>
      <c r="E5" s="153" t="s">
        <v>97</v>
      </c>
      <c r="F5" s="154"/>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1:40" s="46" customFormat="1" ht="19.5" customHeight="1">
      <c r="A6" s="157"/>
      <c r="B6" s="157"/>
      <c r="C6" s="160"/>
      <c r="D6" s="157"/>
      <c r="E6" s="43" t="s">
        <v>64</v>
      </c>
      <c r="F6" s="43" t="s">
        <v>65</v>
      </c>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row>
    <row r="7" spans="1:40" s="46" customFormat="1" ht="19.5" customHeight="1">
      <c r="A7" s="153" t="s">
        <v>58</v>
      </c>
      <c r="B7" s="154"/>
      <c r="C7" s="37">
        <f>SUM(C8:C14)</f>
        <v>26500</v>
      </c>
      <c r="D7" s="37">
        <f>SUM(D8:D14)</f>
        <v>26500</v>
      </c>
      <c r="E7" s="37">
        <f>SUM(E8:E14)</f>
        <v>13250</v>
      </c>
      <c r="F7" s="37">
        <f>SUM(F8:F14)</f>
        <v>13250</v>
      </c>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row>
    <row r="8" spans="1:40" s="47" customFormat="1" ht="19.5" customHeight="1">
      <c r="A8" s="67">
        <v>1</v>
      </c>
      <c r="B8" s="68" t="s">
        <v>95</v>
      </c>
      <c r="C8" s="38">
        <v>2087</v>
      </c>
      <c r="D8" s="72">
        <f>C8*1</f>
        <v>2087</v>
      </c>
      <c r="E8" s="71">
        <f>C8*0.5</f>
        <v>1043.5</v>
      </c>
      <c r="F8" s="71">
        <f>C8*0.5</f>
        <v>1043.5</v>
      </c>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row>
    <row r="9" spans="1:40" s="47" customFormat="1" ht="19.5" customHeight="1">
      <c r="A9" s="67">
        <v>2</v>
      </c>
      <c r="B9" s="68" t="s">
        <v>3</v>
      </c>
      <c r="C9" s="38">
        <v>2424</v>
      </c>
      <c r="D9" s="72">
        <f aca="true" t="shared" si="0" ref="D9:D14">C9*1</f>
        <v>2424</v>
      </c>
      <c r="E9" s="72">
        <f aca="true" t="shared" si="1" ref="E9:E14">C9*0.5</f>
        <v>1212</v>
      </c>
      <c r="F9" s="72">
        <f aca="true" t="shared" si="2" ref="F9:F14">C9*0.5</f>
        <v>1212</v>
      </c>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row>
    <row r="10" spans="1:40" s="47" customFormat="1" ht="19.5" customHeight="1">
      <c r="A10" s="67">
        <v>3</v>
      </c>
      <c r="B10" s="68" t="s">
        <v>23</v>
      </c>
      <c r="C10" s="38">
        <v>7486</v>
      </c>
      <c r="D10" s="72">
        <f t="shared" si="0"/>
        <v>7486</v>
      </c>
      <c r="E10" s="72">
        <f t="shared" si="1"/>
        <v>3743</v>
      </c>
      <c r="F10" s="72">
        <f t="shared" si="2"/>
        <v>3743</v>
      </c>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row>
    <row r="11" spans="1:40" s="47" customFormat="1" ht="19.5" customHeight="1">
      <c r="A11" s="67">
        <v>4</v>
      </c>
      <c r="B11" s="68" t="s">
        <v>22</v>
      </c>
      <c r="C11" s="38">
        <v>6925</v>
      </c>
      <c r="D11" s="72">
        <f t="shared" si="0"/>
        <v>6925</v>
      </c>
      <c r="E11" s="71">
        <f t="shared" si="1"/>
        <v>3462.5</v>
      </c>
      <c r="F11" s="71">
        <f t="shared" si="2"/>
        <v>3462.5</v>
      </c>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row>
    <row r="12" spans="1:40" s="47" customFormat="1" ht="19.5" customHeight="1">
      <c r="A12" s="67">
        <v>5</v>
      </c>
      <c r="B12" s="68" t="s">
        <v>20</v>
      </c>
      <c r="C12" s="38">
        <v>326</v>
      </c>
      <c r="D12" s="72">
        <f t="shared" si="0"/>
        <v>326</v>
      </c>
      <c r="E12" s="72">
        <f t="shared" si="1"/>
        <v>163</v>
      </c>
      <c r="F12" s="72">
        <f t="shared" si="2"/>
        <v>163</v>
      </c>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row>
    <row r="13" spans="1:40" s="47" customFormat="1" ht="19.5" customHeight="1">
      <c r="A13" s="67">
        <v>6</v>
      </c>
      <c r="B13" s="68" t="s">
        <v>88</v>
      </c>
      <c r="C13" s="38">
        <v>6745</v>
      </c>
      <c r="D13" s="72">
        <f t="shared" si="0"/>
        <v>6745</v>
      </c>
      <c r="E13" s="71">
        <f t="shared" si="1"/>
        <v>3372.5</v>
      </c>
      <c r="F13" s="71">
        <f t="shared" si="2"/>
        <v>3372.5</v>
      </c>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row>
    <row r="14" spans="1:40" s="47" customFormat="1" ht="19.5" customHeight="1">
      <c r="A14" s="67">
        <v>7</v>
      </c>
      <c r="B14" s="69" t="s">
        <v>89</v>
      </c>
      <c r="C14" s="38">
        <v>507</v>
      </c>
      <c r="D14" s="72">
        <f t="shared" si="0"/>
        <v>507</v>
      </c>
      <c r="E14" s="71">
        <f t="shared" si="1"/>
        <v>253.5</v>
      </c>
      <c r="F14" s="71">
        <f t="shared" si="2"/>
        <v>253.5</v>
      </c>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row>
  </sheetData>
  <sheetProtection/>
  <mergeCells count="10">
    <mergeCell ref="E3:F3"/>
    <mergeCell ref="A1:B1"/>
    <mergeCell ref="D4:F4"/>
    <mergeCell ref="A2:F2"/>
    <mergeCell ref="A7:B7"/>
    <mergeCell ref="A4:A6"/>
    <mergeCell ref="B4:B6"/>
    <mergeCell ref="C4:C6"/>
    <mergeCell ref="D5:D6"/>
    <mergeCell ref="E5:F5"/>
  </mergeCells>
  <printOptions/>
  <pageMargins left="0.75" right="0.5" top="0.5" bottom="0.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O40"/>
  <sheetViews>
    <sheetView zoomScalePageLayoutView="0" workbookViewId="0" topLeftCell="A1">
      <pane ySplit="6" topLeftCell="A7" activePane="bottomLeft" state="frozen"/>
      <selection pane="topLeft" activeCell="A1" sqref="A1"/>
      <selection pane="bottomLeft" activeCell="L9" sqref="L9:O9"/>
    </sheetView>
  </sheetViews>
  <sheetFormatPr defaultColWidth="9.140625" defaultRowHeight="12.75"/>
  <cols>
    <col min="1" max="1" width="4.7109375" style="17" customWidth="1"/>
    <col min="2" max="2" width="36.7109375" style="20" customWidth="1"/>
    <col min="3" max="3" width="7.7109375" style="17" customWidth="1"/>
    <col min="4" max="4" width="11.7109375" style="18" customWidth="1"/>
    <col min="5" max="6" width="10.57421875" style="54" customWidth="1"/>
    <col min="7" max="9" width="9.140625" style="54" customWidth="1"/>
    <col min="10" max="16384" width="9.140625" style="18" customWidth="1"/>
  </cols>
  <sheetData>
    <row r="1" spans="1:4" ht="18" customHeight="1">
      <c r="A1" s="139" t="s">
        <v>86</v>
      </c>
      <c r="B1" s="139"/>
      <c r="C1" s="139"/>
      <c r="D1" s="139"/>
    </row>
    <row r="2" spans="1:4" ht="18" customHeight="1">
      <c r="A2" s="139"/>
      <c r="B2" s="139"/>
      <c r="C2" s="139"/>
      <c r="D2" s="139"/>
    </row>
    <row r="3" spans="1:4" ht="14.25" customHeight="1">
      <c r="A3" s="138"/>
      <c r="B3" s="138"/>
      <c r="C3" s="138"/>
      <c r="D3" s="138"/>
    </row>
    <row r="4" spans="1:15" s="13" customFormat="1" ht="21.75" customHeight="1">
      <c r="A4" s="135" t="s">
        <v>0</v>
      </c>
      <c r="B4" s="135" t="s">
        <v>40</v>
      </c>
      <c r="C4" s="135" t="s">
        <v>37</v>
      </c>
      <c r="D4" s="135" t="s">
        <v>84</v>
      </c>
      <c r="E4" s="168" t="s">
        <v>83</v>
      </c>
      <c r="F4" s="168"/>
      <c r="G4" s="168"/>
      <c r="H4" s="168"/>
      <c r="I4" s="168"/>
      <c r="J4" s="162" t="s">
        <v>79</v>
      </c>
      <c r="K4" s="163"/>
      <c r="L4" s="163"/>
      <c r="M4" s="163"/>
      <c r="N4" s="163"/>
      <c r="O4" s="164"/>
    </row>
    <row r="5" spans="1:15" s="13" customFormat="1" ht="21.75" customHeight="1">
      <c r="A5" s="135"/>
      <c r="B5" s="135"/>
      <c r="C5" s="135"/>
      <c r="D5" s="135"/>
      <c r="E5" s="165" t="s">
        <v>63</v>
      </c>
      <c r="F5" s="165" t="s">
        <v>64</v>
      </c>
      <c r="G5" s="165" t="s">
        <v>65</v>
      </c>
      <c r="H5" s="165" t="s">
        <v>66</v>
      </c>
      <c r="I5" s="165" t="s">
        <v>67</v>
      </c>
      <c r="J5" s="156" t="s">
        <v>61</v>
      </c>
      <c r="K5" s="145" t="s">
        <v>85</v>
      </c>
      <c r="L5" s="161"/>
      <c r="M5" s="161"/>
      <c r="N5" s="161"/>
      <c r="O5" s="146"/>
    </row>
    <row r="6" spans="1:15" s="13" customFormat="1" ht="24.75" customHeight="1">
      <c r="A6" s="135"/>
      <c r="B6" s="135"/>
      <c r="C6" s="135"/>
      <c r="D6" s="135"/>
      <c r="E6" s="166"/>
      <c r="F6" s="166"/>
      <c r="G6" s="166"/>
      <c r="H6" s="166"/>
      <c r="I6" s="166"/>
      <c r="J6" s="156"/>
      <c r="K6" s="44" t="s">
        <v>63</v>
      </c>
      <c r="L6" s="44" t="s">
        <v>64</v>
      </c>
      <c r="M6" s="44" t="s">
        <v>65</v>
      </c>
      <c r="N6" s="44" t="s">
        <v>66</v>
      </c>
      <c r="O6" s="44" t="s">
        <v>67</v>
      </c>
    </row>
    <row r="7" spans="1:15" s="13" customFormat="1" ht="30" customHeight="1">
      <c r="A7" s="135"/>
      <c r="B7" s="135"/>
      <c r="C7" s="135"/>
      <c r="D7" s="135"/>
      <c r="E7" s="167"/>
      <c r="F7" s="167"/>
      <c r="G7" s="167"/>
      <c r="H7" s="167"/>
      <c r="I7" s="167"/>
      <c r="J7" s="63"/>
      <c r="K7" s="1"/>
      <c r="L7" s="1"/>
      <c r="M7" s="1"/>
      <c r="N7" s="1"/>
      <c r="O7" s="1"/>
    </row>
    <row r="8" spans="1:15" s="13" customFormat="1" ht="24.75" customHeight="1">
      <c r="A8" s="145" t="s">
        <v>58</v>
      </c>
      <c r="B8" s="146"/>
      <c r="C8" s="1"/>
      <c r="D8" s="1"/>
      <c r="E8" s="55"/>
      <c r="F8" s="56"/>
      <c r="G8" s="56"/>
      <c r="H8" s="56"/>
      <c r="I8" s="56"/>
      <c r="J8" s="53" t="e">
        <f>J9+J33+J34+J35+J39+J40</f>
        <v>#REF!</v>
      </c>
      <c r="K8" s="1"/>
      <c r="L8" s="1"/>
      <c r="M8" s="1"/>
      <c r="N8" s="1"/>
      <c r="O8" s="1"/>
    </row>
    <row r="9" spans="1:15" s="14" customFormat="1" ht="21" customHeight="1">
      <c r="A9" s="1" t="s">
        <v>4</v>
      </c>
      <c r="B9" s="2" t="s">
        <v>43</v>
      </c>
      <c r="C9" s="1"/>
      <c r="D9" s="4"/>
      <c r="E9" s="57"/>
      <c r="F9" s="57"/>
      <c r="G9" s="57"/>
      <c r="H9" s="57"/>
      <c r="I9" s="57"/>
      <c r="J9" s="11" t="e">
        <f aca="true" t="shared" si="0" ref="J9:O9">J10+J20+J23+J24+J28+J32</f>
        <v>#REF!</v>
      </c>
      <c r="K9" s="11">
        <f t="shared" si="0"/>
        <v>2543.35</v>
      </c>
      <c r="L9" s="11">
        <f t="shared" si="0"/>
        <v>7806.491</v>
      </c>
      <c r="M9" s="11" t="e">
        <f t="shared" si="0"/>
        <v>#REF!</v>
      </c>
      <c r="N9" s="11" t="e">
        <f t="shared" si="0"/>
        <v>#REF!</v>
      </c>
      <c r="O9" s="11" t="e">
        <f t="shared" si="0"/>
        <v>#REF!</v>
      </c>
    </row>
    <row r="10" spans="1:15" s="14" customFormat="1" ht="21" customHeight="1" hidden="1">
      <c r="A10" s="35"/>
      <c r="B10" s="2"/>
      <c r="C10" s="1"/>
      <c r="D10" s="11"/>
      <c r="E10" s="57"/>
      <c r="F10" s="57"/>
      <c r="G10" s="57"/>
      <c r="H10" s="57"/>
      <c r="I10" s="57"/>
      <c r="J10" s="11"/>
      <c r="K10" s="11"/>
      <c r="L10" s="11"/>
      <c r="M10" s="11"/>
      <c r="N10" s="11"/>
      <c r="O10" s="11"/>
    </row>
    <row r="11" spans="1:15" s="13" customFormat="1" ht="21" customHeight="1" hidden="1">
      <c r="A11" s="51"/>
      <c r="B11" s="5"/>
      <c r="C11" s="22"/>
      <c r="D11" s="48"/>
      <c r="E11" s="58"/>
      <c r="F11" s="58"/>
      <c r="G11" s="58"/>
      <c r="H11" s="58"/>
      <c r="I11" s="58"/>
      <c r="J11" s="49"/>
      <c r="K11" s="27"/>
      <c r="L11" s="27"/>
      <c r="M11" s="27"/>
      <c r="N11" s="27"/>
      <c r="O11" s="27"/>
    </row>
    <row r="12" spans="1:15" s="13" customFormat="1" ht="30" customHeight="1" hidden="1">
      <c r="A12" s="51"/>
      <c r="B12" s="5"/>
      <c r="C12" s="22"/>
      <c r="D12" s="50"/>
      <c r="E12" s="59"/>
      <c r="F12" s="59"/>
      <c r="G12" s="59"/>
      <c r="H12" s="59"/>
      <c r="I12" s="59"/>
      <c r="J12" s="50"/>
      <c r="K12" s="50"/>
      <c r="L12" s="50"/>
      <c r="M12" s="50"/>
      <c r="N12" s="50"/>
      <c r="O12" s="50"/>
    </row>
    <row r="13" spans="1:15" s="14" customFormat="1" ht="21" customHeight="1" hidden="1">
      <c r="A13" s="35"/>
      <c r="B13" s="5"/>
      <c r="C13" s="22"/>
      <c r="D13" s="48"/>
      <c r="E13" s="60"/>
      <c r="F13" s="58"/>
      <c r="G13" s="58"/>
      <c r="H13" s="58"/>
      <c r="I13" s="58"/>
      <c r="J13" s="50"/>
      <c r="K13" s="48"/>
      <c r="L13" s="48"/>
      <c r="M13" s="48"/>
      <c r="N13" s="48"/>
      <c r="O13" s="48"/>
    </row>
    <row r="14" spans="1:15" s="14" customFormat="1" ht="21" customHeight="1" hidden="1">
      <c r="A14" s="35"/>
      <c r="B14" s="5"/>
      <c r="C14" s="22"/>
      <c r="D14" s="48"/>
      <c r="E14" s="60"/>
      <c r="F14" s="58"/>
      <c r="G14" s="58"/>
      <c r="H14" s="58"/>
      <c r="I14" s="58"/>
      <c r="J14" s="50"/>
      <c r="K14" s="48"/>
      <c r="L14" s="48"/>
      <c r="M14" s="48"/>
      <c r="N14" s="48"/>
      <c r="O14" s="48"/>
    </row>
    <row r="15" spans="1:15" s="14" customFormat="1" ht="21" customHeight="1" hidden="1">
      <c r="A15" s="35"/>
      <c r="B15" s="5"/>
      <c r="C15" s="22"/>
      <c r="D15" s="48"/>
      <c r="E15" s="60"/>
      <c r="F15" s="58"/>
      <c r="G15" s="58"/>
      <c r="H15" s="58"/>
      <c r="I15" s="58"/>
      <c r="J15" s="50"/>
      <c r="K15" s="48"/>
      <c r="L15" s="27"/>
      <c r="M15" s="27"/>
      <c r="N15" s="27"/>
      <c r="O15" s="27"/>
    </row>
    <row r="16" spans="1:15" s="14" customFormat="1" ht="21" customHeight="1" hidden="1">
      <c r="A16" s="35"/>
      <c r="B16" s="5"/>
      <c r="C16" s="22"/>
      <c r="D16" s="48"/>
      <c r="E16" s="60"/>
      <c r="F16" s="58"/>
      <c r="G16" s="58"/>
      <c r="H16" s="58"/>
      <c r="I16" s="58"/>
      <c r="J16" s="50"/>
      <c r="K16" s="48"/>
      <c r="L16" s="27"/>
      <c r="M16" s="27"/>
      <c r="N16" s="27"/>
      <c r="O16" s="27"/>
    </row>
    <row r="17" spans="1:15" s="14" customFormat="1" ht="21" customHeight="1" hidden="1">
      <c r="A17" s="35"/>
      <c r="B17" s="5"/>
      <c r="C17" s="22"/>
      <c r="D17" s="48"/>
      <c r="E17" s="60"/>
      <c r="F17" s="58"/>
      <c r="G17" s="58"/>
      <c r="H17" s="58"/>
      <c r="I17" s="58"/>
      <c r="J17" s="50"/>
      <c r="K17" s="48"/>
      <c r="L17" s="27"/>
      <c r="M17" s="27"/>
      <c r="N17" s="27"/>
      <c r="O17" s="27"/>
    </row>
    <row r="18" spans="1:15" s="14" customFormat="1" ht="21" customHeight="1" hidden="1">
      <c r="A18" s="35"/>
      <c r="B18" s="5"/>
      <c r="C18" s="22"/>
      <c r="D18" s="48"/>
      <c r="E18" s="60"/>
      <c r="F18" s="58"/>
      <c r="G18" s="58"/>
      <c r="H18" s="58"/>
      <c r="I18" s="58"/>
      <c r="J18" s="50"/>
      <c r="K18" s="48"/>
      <c r="L18" s="27"/>
      <c r="M18" s="27"/>
      <c r="N18" s="27"/>
      <c r="O18" s="27"/>
    </row>
    <row r="19" spans="1:15" s="13" customFormat="1" ht="30" customHeight="1" hidden="1">
      <c r="A19" s="7"/>
      <c r="B19" s="5"/>
      <c r="C19" s="22"/>
      <c r="D19" s="27"/>
      <c r="E19" s="58"/>
      <c r="F19" s="58"/>
      <c r="G19" s="58"/>
      <c r="H19" s="58"/>
      <c r="I19" s="58"/>
      <c r="J19" s="27"/>
      <c r="K19" s="27"/>
      <c r="L19" s="27"/>
      <c r="M19" s="27"/>
      <c r="N19" s="27"/>
      <c r="O19" s="27"/>
    </row>
    <row r="20" spans="1:15" s="14" customFormat="1" ht="21" customHeight="1" hidden="1">
      <c r="A20" s="1"/>
      <c r="B20" s="2"/>
      <c r="C20" s="1"/>
      <c r="D20" s="11"/>
      <c r="E20" s="57"/>
      <c r="F20" s="57"/>
      <c r="G20" s="57"/>
      <c r="H20" s="57"/>
      <c r="I20" s="57"/>
      <c r="J20" s="11"/>
      <c r="K20" s="11"/>
      <c r="L20" s="11"/>
      <c r="M20" s="11"/>
      <c r="N20" s="11"/>
      <c r="O20" s="11"/>
    </row>
    <row r="21" spans="1:15" s="13" customFormat="1" ht="21" customHeight="1" hidden="1">
      <c r="A21" s="7"/>
      <c r="B21" s="5"/>
      <c r="C21" s="22"/>
      <c r="D21" s="27"/>
      <c r="E21" s="58"/>
      <c r="F21" s="58"/>
      <c r="G21" s="58"/>
      <c r="H21" s="58"/>
      <c r="I21" s="58"/>
      <c r="J21" s="27"/>
      <c r="K21" s="27"/>
      <c r="L21" s="27"/>
      <c r="M21" s="27"/>
      <c r="N21" s="27"/>
      <c r="O21" s="27"/>
    </row>
    <row r="22" spans="1:15" s="13" customFormat="1" ht="21" customHeight="1" hidden="1">
      <c r="A22" s="7"/>
      <c r="B22" s="5"/>
      <c r="C22" s="22"/>
      <c r="D22" s="48"/>
      <c r="E22" s="58"/>
      <c r="F22" s="58"/>
      <c r="G22" s="58"/>
      <c r="H22" s="58"/>
      <c r="I22" s="58"/>
      <c r="J22" s="27"/>
      <c r="K22" s="27"/>
      <c r="L22" s="27"/>
      <c r="M22" s="27"/>
      <c r="N22" s="27"/>
      <c r="O22" s="27"/>
    </row>
    <row r="23" spans="1:15" s="14" customFormat="1" ht="30" customHeight="1" hidden="1">
      <c r="A23" s="43"/>
      <c r="B23" s="44"/>
      <c r="C23" s="1"/>
      <c r="D23" s="11"/>
      <c r="E23" s="58"/>
      <c r="F23" s="58"/>
      <c r="G23" s="58"/>
      <c r="H23" s="58"/>
      <c r="I23" s="58"/>
      <c r="J23" s="27"/>
      <c r="K23" s="27"/>
      <c r="L23" s="27"/>
      <c r="M23" s="27"/>
      <c r="N23" s="27"/>
      <c r="O23" s="27"/>
    </row>
    <row r="24" spans="1:15" s="14" customFormat="1" ht="21" customHeight="1">
      <c r="A24" s="1">
        <v>1</v>
      </c>
      <c r="B24" s="2" t="s">
        <v>34</v>
      </c>
      <c r="C24" s="1" t="s">
        <v>45</v>
      </c>
      <c r="D24" s="11">
        <f aca="true" t="shared" si="1" ref="D24:J24">D25+D26+D27</f>
        <v>1674.5</v>
      </c>
      <c r="E24" s="57">
        <f t="shared" si="1"/>
        <v>74.5</v>
      </c>
      <c r="F24" s="57">
        <f t="shared" si="1"/>
        <v>148</v>
      </c>
      <c r="G24" s="57">
        <f t="shared" si="1"/>
        <v>120</v>
      </c>
      <c r="H24" s="57">
        <f t="shared" si="1"/>
        <v>294</v>
      </c>
      <c r="I24" s="57">
        <f t="shared" si="1"/>
        <v>294</v>
      </c>
      <c r="J24" s="11">
        <f t="shared" si="1"/>
        <v>26226.35</v>
      </c>
      <c r="K24" s="11">
        <f>K25+K26+K27</f>
        <v>1830.35</v>
      </c>
      <c r="L24" s="11">
        <f>L25+L26+L27</f>
        <v>4218</v>
      </c>
      <c r="M24" s="11">
        <f>M25+M26+M27</f>
        <v>3420</v>
      </c>
      <c r="N24" s="11">
        <f>N25+N26+N27</f>
        <v>8379</v>
      </c>
      <c r="O24" s="11">
        <f>O25+O26+O27</f>
        <v>8379</v>
      </c>
    </row>
    <row r="25" spans="1:15" s="13" customFormat="1" ht="21" customHeight="1">
      <c r="A25" s="6" t="s">
        <v>6</v>
      </c>
      <c r="B25" s="5" t="s">
        <v>8</v>
      </c>
      <c r="C25" s="22" t="s">
        <v>45</v>
      </c>
      <c r="D25" s="27">
        <f>SUM(E25:I25)+348</f>
        <v>1229</v>
      </c>
      <c r="E25" s="58">
        <v>60</v>
      </c>
      <c r="F25" s="58">
        <v>113</v>
      </c>
      <c r="G25" s="58">
        <v>120</v>
      </c>
      <c r="H25" s="58">
        <f>120+174</f>
        <v>294</v>
      </c>
      <c r="I25" s="58">
        <f>120+174</f>
        <v>294</v>
      </c>
      <c r="J25" s="27">
        <f>SUM(K25:O25)</f>
        <v>25108.5</v>
      </c>
      <c r="K25" s="27">
        <f>E25*28.5</f>
        <v>1710</v>
      </c>
      <c r="L25" s="27">
        <f>F25*28.5</f>
        <v>3220.5</v>
      </c>
      <c r="M25" s="27">
        <f>G25*28.5</f>
        <v>3420</v>
      </c>
      <c r="N25" s="27">
        <f>H25*28.5</f>
        <v>8379</v>
      </c>
      <c r="O25" s="27">
        <f>I25*28.5</f>
        <v>8379</v>
      </c>
    </row>
    <row r="26" spans="1:15" s="13" customFormat="1" ht="21" customHeight="1">
      <c r="A26" s="6" t="s">
        <v>6</v>
      </c>
      <c r="B26" s="5" t="s">
        <v>82</v>
      </c>
      <c r="C26" s="22" t="s">
        <v>45</v>
      </c>
      <c r="D26" s="27">
        <f>SUM(E26:I26)+396</f>
        <v>445.5</v>
      </c>
      <c r="E26" s="61">
        <v>14.5</v>
      </c>
      <c r="F26" s="58">
        <v>35</v>
      </c>
      <c r="G26" s="58">
        <v>0</v>
      </c>
      <c r="H26" s="58">
        <v>0</v>
      </c>
      <c r="I26" s="58">
        <v>0</v>
      </c>
      <c r="J26" s="27">
        <f>SUM(K26:O26)</f>
        <v>1117.85</v>
      </c>
      <c r="K26" s="27">
        <f>E26*8.3</f>
        <v>120.35000000000001</v>
      </c>
      <c r="L26" s="27">
        <f>F26*28.5</f>
        <v>997.5</v>
      </c>
      <c r="M26" s="27">
        <v>0</v>
      </c>
      <c r="N26" s="27">
        <v>0</v>
      </c>
      <c r="O26" s="27">
        <v>0</v>
      </c>
    </row>
    <row r="27" spans="1:15" s="13" customFormat="1" ht="21" customHeight="1" hidden="1">
      <c r="A27" s="6"/>
      <c r="B27" s="5"/>
      <c r="C27" s="22"/>
      <c r="D27" s="27"/>
      <c r="E27" s="58"/>
      <c r="F27" s="58"/>
      <c r="G27" s="58"/>
      <c r="H27" s="58"/>
      <c r="I27" s="58"/>
      <c r="J27" s="27"/>
      <c r="K27" s="27"/>
      <c r="L27" s="27"/>
      <c r="M27" s="27"/>
      <c r="N27" s="27"/>
      <c r="O27" s="27"/>
    </row>
    <row r="28" spans="1:15" s="13" customFormat="1" ht="21" customHeight="1">
      <c r="A28" s="1">
        <v>2</v>
      </c>
      <c r="B28" s="2" t="s">
        <v>44</v>
      </c>
      <c r="C28" s="1" t="s">
        <v>81</v>
      </c>
      <c r="D28" s="11" t="e">
        <f aca="true" t="shared" si="2" ref="D28:I28">SUM(D29:D31)</f>
        <v>#REF!</v>
      </c>
      <c r="E28" s="57">
        <f t="shared" si="2"/>
        <v>310</v>
      </c>
      <c r="F28" s="57">
        <f t="shared" si="2"/>
        <v>372.46000000000004</v>
      </c>
      <c r="G28" s="57" t="e">
        <f t="shared" si="2"/>
        <v>#REF!</v>
      </c>
      <c r="H28" s="57" t="e">
        <f t="shared" si="2"/>
        <v>#REF!</v>
      </c>
      <c r="I28" s="57" t="e">
        <f t="shared" si="2"/>
        <v>#REF!</v>
      </c>
      <c r="J28" s="11" t="e">
        <f>J29+J30+J31</f>
        <v>#REF!</v>
      </c>
      <c r="K28" s="11">
        <f>SUM(K29:K31)</f>
        <v>713</v>
      </c>
      <c r="L28" s="11">
        <f>SUM(L29:L31)</f>
        <v>3588.4909999999995</v>
      </c>
      <c r="M28" s="11" t="e">
        <f>SUM(M29:M31)</f>
        <v>#REF!</v>
      </c>
      <c r="N28" s="11" t="e">
        <f>SUM(N29:N31)</f>
        <v>#REF!</v>
      </c>
      <c r="O28" s="11" t="e">
        <f>SUM(O29:O31)</f>
        <v>#REF!</v>
      </c>
    </row>
    <row r="29" spans="1:15" s="13" customFormat="1" ht="21" customHeight="1">
      <c r="A29" s="6" t="s">
        <v>6</v>
      </c>
      <c r="B29" s="5" t="s">
        <v>8</v>
      </c>
      <c r="C29" s="22" t="s">
        <v>81</v>
      </c>
      <c r="D29" s="27" t="e">
        <f>SUM(E29:I29)</f>
        <v>#REF!</v>
      </c>
      <c r="E29" s="58">
        <v>291</v>
      </c>
      <c r="F29" s="58">
        <f>'2017-Kl'!D11+'2017-Kl'!D15+'2017-Kl'!D18</f>
        <v>349.54</v>
      </c>
      <c r="G29" s="58" t="e">
        <f>#REF!+#REF!+#REF!</f>
        <v>#REF!</v>
      </c>
      <c r="H29" s="58" t="e">
        <f>#REF!+#REF!+#REF!</f>
        <v>#REF!</v>
      </c>
      <c r="I29" s="58" t="e">
        <f>#REF!+#REF!+#REF!</f>
        <v>#REF!</v>
      </c>
      <c r="J29" s="27" t="e">
        <f>SUM(K29:O29)</f>
        <v>#REF!</v>
      </c>
      <c r="K29" s="27">
        <f>E29*2.3</f>
        <v>669.3</v>
      </c>
      <c r="L29" s="27">
        <f>'2017-von'!C13+'2017-von'!C17+'2017-von'!C19</f>
        <v>3347.5029999999997</v>
      </c>
      <c r="M29" s="27" t="e">
        <f>#REF!+#REF!+#REF!</f>
        <v>#REF!</v>
      </c>
      <c r="N29" s="27" t="e">
        <f>#REF!+#REF!+#REF!</f>
        <v>#REF!</v>
      </c>
      <c r="O29" s="27" t="e">
        <f>#REF!+#REF!+#REF!</f>
        <v>#REF!</v>
      </c>
    </row>
    <row r="30" spans="1:15" s="13" customFormat="1" ht="21" customHeight="1">
      <c r="A30" s="6" t="s">
        <v>6</v>
      </c>
      <c r="B30" s="5" t="s">
        <v>82</v>
      </c>
      <c r="C30" s="22" t="s">
        <v>81</v>
      </c>
      <c r="D30" s="27" t="e">
        <f>SUM(E30:I30)</f>
        <v>#REF!</v>
      </c>
      <c r="E30" s="58">
        <v>19</v>
      </c>
      <c r="F30" s="58">
        <f>'2017-Kl'!D12+'2017-Kl'!D13+'2017-Kl'!D16</f>
        <v>22.92</v>
      </c>
      <c r="G30" s="58" t="e">
        <f>#REF!+#REF!+#REF!+#REF!+#REF!</f>
        <v>#REF!</v>
      </c>
      <c r="H30" s="58" t="e">
        <f>#REF!+#REF!+#REF!+#REF!</f>
        <v>#REF!</v>
      </c>
      <c r="I30" s="58" t="e">
        <f>#REF!+#REF!</f>
        <v>#REF!</v>
      </c>
      <c r="J30" s="27" t="e">
        <f>SUM(K30:O30)</f>
        <v>#REF!</v>
      </c>
      <c r="K30" s="27">
        <f>E30*2.3</f>
        <v>43.699999999999996</v>
      </c>
      <c r="L30" s="27">
        <f>'2017-von'!C14+'2017-von'!C15+'2017-von'!C18</f>
        <v>240.988</v>
      </c>
      <c r="M30" s="27" t="e">
        <f>#REF!+#REF!+#REF!+#REF!+#REF!</f>
        <v>#REF!</v>
      </c>
      <c r="N30" s="27" t="e">
        <f>#REF!+#REF!+#REF!+#REF!</f>
        <v>#REF!</v>
      </c>
      <c r="O30" s="27" t="e">
        <f>#REF!+#REF!</f>
        <v>#REF!</v>
      </c>
    </row>
    <row r="31" spans="1:15" s="13" customFormat="1" ht="21" customHeight="1" hidden="1">
      <c r="A31" s="6"/>
      <c r="B31" s="5"/>
      <c r="C31" s="22"/>
      <c r="D31" s="27"/>
      <c r="E31" s="62"/>
      <c r="F31" s="58"/>
      <c r="G31" s="58"/>
      <c r="H31" s="58"/>
      <c r="I31" s="58"/>
      <c r="J31" s="27"/>
      <c r="K31" s="27"/>
      <c r="L31" s="52"/>
      <c r="M31" s="27"/>
      <c r="N31" s="27"/>
      <c r="O31" s="27"/>
    </row>
    <row r="32" spans="1:15" s="14" customFormat="1" ht="30" customHeight="1" hidden="1">
      <c r="A32" s="1"/>
      <c r="B32" s="2"/>
      <c r="C32" s="1"/>
      <c r="D32" s="11"/>
      <c r="E32" s="58"/>
      <c r="F32" s="58"/>
      <c r="G32" s="58"/>
      <c r="H32" s="58"/>
      <c r="I32" s="58"/>
      <c r="J32" s="27"/>
      <c r="K32" s="27"/>
      <c r="L32" s="27"/>
      <c r="M32" s="27"/>
      <c r="N32" s="27"/>
      <c r="O32" s="27"/>
    </row>
    <row r="33" spans="1:15" s="14" customFormat="1" ht="21" customHeight="1">
      <c r="A33" s="1" t="s">
        <v>10</v>
      </c>
      <c r="B33" s="2" t="s">
        <v>80</v>
      </c>
      <c r="C33" s="1" t="s">
        <v>38</v>
      </c>
      <c r="D33" s="11">
        <f>SUM(E33:I33)</f>
        <v>2000000</v>
      </c>
      <c r="E33" s="57">
        <v>1000000</v>
      </c>
      <c r="F33" s="57">
        <v>1000000</v>
      </c>
      <c r="G33" s="57"/>
      <c r="H33" s="57">
        <v>0</v>
      </c>
      <c r="I33" s="57">
        <v>0</v>
      </c>
      <c r="J33" s="11">
        <f>SUM(K33:O33)</f>
        <v>4000</v>
      </c>
      <c r="K33" s="11">
        <f>E33*0.002</f>
        <v>2000</v>
      </c>
      <c r="L33" s="11">
        <f>F33*0.002</f>
        <v>2000</v>
      </c>
      <c r="M33" s="11">
        <f>G33*0.002</f>
        <v>0</v>
      </c>
      <c r="N33" s="11">
        <f>H33*0.002</f>
        <v>0</v>
      </c>
      <c r="O33" s="11">
        <f>I33*0.002</f>
        <v>0</v>
      </c>
    </row>
    <row r="34" spans="1:15" s="14" customFormat="1" ht="21" customHeight="1" hidden="1">
      <c r="A34" s="1"/>
      <c r="B34" s="2"/>
      <c r="C34" s="1"/>
      <c r="D34" s="11"/>
      <c r="E34" s="57"/>
      <c r="F34" s="57"/>
      <c r="G34" s="57"/>
      <c r="H34" s="57"/>
      <c r="I34" s="57"/>
      <c r="J34" s="11"/>
      <c r="K34" s="11"/>
      <c r="L34" s="11"/>
      <c r="M34" s="11"/>
      <c r="N34" s="11"/>
      <c r="O34" s="11"/>
    </row>
    <row r="35" spans="1:15" s="14" customFormat="1" ht="21" customHeight="1">
      <c r="A35" s="1" t="s">
        <v>39</v>
      </c>
      <c r="B35" s="2" t="s">
        <v>50</v>
      </c>
      <c r="C35" s="1" t="s">
        <v>41</v>
      </c>
      <c r="D35" s="11">
        <f aca="true" t="shared" si="3" ref="D35:I35">SUM(D36:D38)</f>
        <v>14</v>
      </c>
      <c r="E35" s="57">
        <f t="shared" si="3"/>
        <v>0</v>
      </c>
      <c r="F35" s="57">
        <f t="shared" si="3"/>
        <v>14</v>
      </c>
      <c r="G35" s="57">
        <f t="shared" si="3"/>
        <v>0</v>
      </c>
      <c r="H35" s="57">
        <f t="shared" si="3"/>
        <v>0</v>
      </c>
      <c r="I35" s="57">
        <f t="shared" si="3"/>
        <v>0</v>
      </c>
      <c r="J35" s="11">
        <f>SUM(K35:O35)</f>
        <v>2152.8</v>
      </c>
      <c r="K35" s="11">
        <f>SUM(K36:K38)</f>
        <v>0</v>
      </c>
      <c r="L35" s="11">
        <f>SUM(L36:L38)</f>
        <v>2152.8</v>
      </c>
      <c r="M35" s="11">
        <f>SUM(M36:M38)</f>
        <v>0</v>
      </c>
      <c r="N35" s="11">
        <f>SUM(N36:N38)</f>
        <v>0</v>
      </c>
      <c r="O35" s="11">
        <f>SUM(O36:O38)</f>
        <v>0</v>
      </c>
    </row>
    <row r="36" spans="1:15" s="13" customFormat="1" ht="21" customHeight="1">
      <c r="A36" s="6" t="s">
        <v>6</v>
      </c>
      <c r="B36" s="5" t="s">
        <v>56</v>
      </c>
      <c r="C36" s="22" t="s">
        <v>41</v>
      </c>
      <c r="D36" s="27">
        <v>1</v>
      </c>
      <c r="E36" s="58">
        <v>0</v>
      </c>
      <c r="F36" s="58">
        <v>1</v>
      </c>
      <c r="G36" s="58">
        <v>0</v>
      </c>
      <c r="H36" s="58">
        <v>0</v>
      </c>
      <c r="I36" s="58">
        <v>0</v>
      </c>
      <c r="J36" s="27">
        <f>SUM(K36:O36)</f>
        <v>236.8</v>
      </c>
      <c r="K36" s="27">
        <v>0</v>
      </c>
      <c r="L36" s="27">
        <v>236.8</v>
      </c>
      <c r="M36" s="27">
        <v>0</v>
      </c>
      <c r="N36" s="27">
        <v>0</v>
      </c>
      <c r="O36" s="27">
        <v>0</v>
      </c>
    </row>
    <row r="37" spans="1:15" ht="21" customHeight="1">
      <c r="A37" s="7" t="s">
        <v>6</v>
      </c>
      <c r="B37" s="10" t="s">
        <v>51</v>
      </c>
      <c r="C37" s="3" t="s">
        <v>41</v>
      </c>
      <c r="D37" s="27">
        <v>9</v>
      </c>
      <c r="E37" s="58">
        <v>0</v>
      </c>
      <c r="F37" s="58">
        <v>9</v>
      </c>
      <c r="G37" s="58">
        <v>0</v>
      </c>
      <c r="H37" s="58">
        <v>0</v>
      </c>
      <c r="I37" s="58">
        <v>0</v>
      </c>
      <c r="J37" s="27">
        <f>SUM(K37:O37)</f>
        <v>1456</v>
      </c>
      <c r="K37" s="27">
        <v>0</v>
      </c>
      <c r="L37" s="27">
        <v>1456</v>
      </c>
      <c r="M37" s="27">
        <v>0</v>
      </c>
      <c r="N37" s="27">
        <v>0</v>
      </c>
      <c r="O37" s="27">
        <v>0</v>
      </c>
    </row>
    <row r="38" spans="1:15" ht="21" customHeight="1">
      <c r="A38" s="7" t="s">
        <v>6</v>
      </c>
      <c r="B38" s="10" t="s">
        <v>54</v>
      </c>
      <c r="C38" s="3" t="s">
        <v>41</v>
      </c>
      <c r="D38" s="27">
        <v>4</v>
      </c>
      <c r="E38" s="58">
        <v>0</v>
      </c>
      <c r="F38" s="58">
        <v>4</v>
      </c>
      <c r="G38" s="58">
        <v>0</v>
      </c>
      <c r="H38" s="58">
        <v>0</v>
      </c>
      <c r="I38" s="58">
        <v>0</v>
      </c>
      <c r="J38" s="27">
        <f>SUM(K38:O38)</f>
        <v>460</v>
      </c>
      <c r="K38" s="27">
        <v>0</v>
      </c>
      <c r="L38" s="27">
        <v>460</v>
      </c>
      <c r="M38" s="27">
        <v>0</v>
      </c>
      <c r="N38" s="27">
        <v>0</v>
      </c>
      <c r="O38" s="27">
        <v>0</v>
      </c>
    </row>
    <row r="39" spans="1:15" s="47" customFormat="1" ht="21" customHeight="1" hidden="1">
      <c r="A39" s="43"/>
      <c r="B39" s="45"/>
      <c r="C39" s="4"/>
      <c r="D39" s="46"/>
      <c r="E39" s="57"/>
      <c r="F39" s="57"/>
      <c r="G39" s="57"/>
      <c r="H39" s="57"/>
      <c r="I39" s="57"/>
      <c r="J39" s="11"/>
      <c r="K39" s="11"/>
      <c r="L39" s="11"/>
      <c r="M39" s="11"/>
      <c r="N39" s="11"/>
      <c r="O39" s="11"/>
    </row>
    <row r="40" spans="1:15" s="47" customFormat="1" ht="21" customHeight="1" hidden="1">
      <c r="A40" s="43"/>
      <c r="B40" s="45"/>
      <c r="C40" s="4"/>
      <c r="D40" s="46"/>
      <c r="E40" s="57"/>
      <c r="F40" s="57"/>
      <c r="G40" s="57"/>
      <c r="H40" s="57"/>
      <c r="I40" s="57"/>
      <c r="J40" s="11"/>
      <c r="K40" s="11"/>
      <c r="L40" s="11"/>
      <c r="M40" s="11"/>
      <c r="N40" s="11"/>
      <c r="O40" s="11"/>
    </row>
  </sheetData>
  <sheetProtection/>
  <mergeCells count="17">
    <mergeCell ref="I5:I7"/>
    <mergeCell ref="C4:C7"/>
    <mergeCell ref="D4:D7"/>
    <mergeCell ref="A8:B8"/>
    <mergeCell ref="E5:E7"/>
    <mergeCell ref="F5:F7"/>
    <mergeCell ref="G5:G7"/>
    <mergeCell ref="J5:J6"/>
    <mergeCell ref="K5:O5"/>
    <mergeCell ref="J4:O4"/>
    <mergeCell ref="A1:D1"/>
    <mergeCell ref="A2:D2"/>
    <mergeCell ref="A3:D3"/>
    <mergeCell ref="A4:A7"/>
    <mergeCell ref="B4:B7"/>
    <mergeCell ref="H5:H7"/>
    <mergeCell ref="E4:I4"/>
  </mergeCells>
  <printOptions/>
  <pageMargins left="0.5" right="0.25" top="0.5" bottom="0.25" header="0" footer="0"/>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cp:lastModifiedBy>
  <cp:lastPrinted>2019-12-01T01:03:09Z</cp:lastPrinted>
  <dcterms:created xsi:type="dcterms:W3CDTF">2012-10-25T08:34:41Z</dcterms:created>
  <dcterms:modified xsi:type="dcterms:W3CDTF">2019-12-01T09:09:42Z</dcterms:modified>
  <cp:category/>
  <cp:version/>
  <cp:contentType/>
  <cp:contentStatus/>
</cp:coreProperties>
</file>